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71733b359c3fe7/Documentos/Função Contábil/Planilhas/Lucro Real Trimestral/"/>
    </mc:Choice>
  </mc:AlternateContent>
  <xr:revisionPtr revIDLastSave="4" documentId="8_{9770CE98-B1A0-497F-B179-066FC393FC96}" xr6:coauthVersionLast="47" xr6:coauthVersionMax="47" xr10:uidLastSave="{EFF50A9D-0F21-48F1-8A7D-74174E437DDC}"/>
  <bookViews>
    <workbookView xWindow="-110" yWindow="-110" windowWidth="25820" windowHeight="15500" tabRatio="753" xr2:uid="{00000000-000D-0000-FFFF-FFFF00000000}"/>
  </bookViews>
  <sheets>
    <sheet name="inicio" sheetId="1" r:id="rId1"/>
    <sheet name="tab" sheetId="6" r:id="rId2"/>
    <sheet name="1 trim" sheetId="7" r:id="rId3"/>
    <sheet name="2 trim" sheetId="23" r:id="rId4"/>
    <sheet name="3 trim" sheetId="24" r:id="rId5"/>
    <sheet name="4 trim" sheetId="25" r:id="rId6"/>
    <sheet name="result" sheetId="8" r:id="rId7"/>
    <sheet name="graf" sheetId="9" r:id="rId8"/>
    <sheet name="imp" sheetId="10" r:id="rId9"/>
    <sheet name="sobre" sheetId="22" r:id="rId10"/>
  </sheets>
  <definedNames>
    <definedName name="_xlnm._FilterDatabase" localSheetId="2" hidden="1">'1 trim'!#REF!</definedName>
    <definedName name="_xlnm._FilterDatabase" localSheetId="3" hidden="1">'2 trim'!#REF!</definedName>
    <definedName name="_xlnm._FilterDatabase" localSheetId="4" hidden="1">'3 trim'!#REF!</definedName>
    <definedName name="_xlnm._FilterDatabase" localSheetId="5" hidden="1">'4 trim'!#REF!</definedName>
    <definedName name="_xlnm.Print_Area" localSheetId="8">imp!$B$3:$J$30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7" l="1"/>
  <c r="E35" i="8" s="1"/>
  <c r="C49" i="25"/>
  <c r="B49" i="25"/>
  <c r="C48" i="25"/>
  <c r="B48" i="25"/>
  <c r="C47" i="25"/>
  <c r="B47" i="25"/>
  <c r="C46" i="25"/>
  <c r="B46" i="25"/>
  <c r="C45" i="25"/>
  <c r="B45" i="25"/>
  <c r="C44" i="25"/>
  <c r="B44" i="25"/>
  <c r="C43" i="25"/>
  <c r="D43" i="25" s="1"/>
  <c r="B43" i="25"/>
  <c r="C42" i="25"/>
  <c r="D42" i="25" s="1"/>
  <c r="B42" i="25"/>
  <c r="C41" i="25"/>
  <c r="G41" i="25" s="1"/>
  <c r="B41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C35" i="25"/>
  <c r="B35" i="25"/>
  <c r="C34" i="25"/>
  <c r="B34" i="25"/>
  <c r="C33" i="25"/>
  <c r="F33" i="25" s="1"/>
  <c r="B33" i="25"/>
  <c r="C32" i="25"/>
  <c r="G32" i="25" s="1"/>
  <c r="B32" i="25"/>
  <c r="C31" i="25"/>
  <c r="E31" i="25" s="1"/>
  <c r="B31" i="25"/>
  <c r="C30" i="25"/>
  <c r="G30" i="25" s="1"/>
  <c r="B30" i="25"/>
  <c r="C29" i="25"/>
  <c r="B29" i="25"/>
  <c r="C28" i="25"/>
  <c r="G28" i="25" s="1"/>
  <c r="B28" i="25"/>
  <c r="C27" i="25"/>
  <c r="B27" i="25"/>
  <c r="C26" i="25"/>
  <c r="B26" i="25"/>
  <c r="C25" i="25"/>
  <c r="B25" i="25"/>
  <c r="C24" i="25"/>
  <c r="B24" i="25"/>
  <c r="C23" i="25"/>
  <c r="B23" i="25"/>
  <c r="C22" i="25"/>
  <c r="G22" i="25" s="1"/>
  <c r="B22" i="25"/>
  <c r="C21" i="25"/>
  <c r="G21" i="25" s="1"/>
  <c r="B21" i="25"/>
  <c r="C20" i="25"/>
  <c r="B20" i="25"/>
  <c r="C19" i="25"/>
  <c r="F19" i="25" s="1"/>
  <c r="B19" i="25"/>
  <c r="G18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F12" i="25" s="1"/>
  <c r="B12" i="25"/>
  <c r="C11" i="25"/>
  <c r="B11" i="25"/>
  <c r="C10" i="25"/>
  <c r="G10" i="25" s="1"/>
  <c r="B10" i="25"/>
  <c r="C9" i="25"/>
  <c r="G9" i="25" s="1"/>
  <c r="B9" i="25"/>
  <c r="C8" i="25"/>
  <c r="E29" i="25" s="1"/>
  <c r="B8" i="25"/>
  <c r="G7" i="25"/>
  <c r="F7" i="25"/>
  <c r="C7" i="25"/>
  <c r="B7" i="25"/>
  <c r="C6" i="25"/>
  <c r="E7" i="25" s="1"/>
  <c r="B6" i="25"/>
  <c r="C5" i="25"/>
  <c r="B5" i="25"/>
  <c r="B3" i="25"/>
  <c r="F20" i="6"/>
  <c r="G20" i="6"/>
  <c r="H20" i="6"/>
  <c r="I20" i="6"/>
  <c r="J20" i="6"/>
  <c r="K20" i="6"/>
  <c r="L20" i="6"/>
  <c r="M20" i="6"/>
  <c r="N20" i="6"/>
  <c r="O20" i="6"/>
  <c r="P20" i="6"/>
  <c r="E20" i="6"/>
  <c r="F6" i="6"/>
  <c r="G6" i="6"/>
  <c r="H6" i="6"/>
  <c r="I6" i="6"/>
  <c r="J6" i="6"/>
  <c r="K6" i="6"/>
  <c r="L6" i="6"/>
  <c r="M6" i="6"/>
  <c r="N6" i="6"/>
  <c r="O6" i="6"/>
  <c r="P6" i="6"/>
  <c r="E6" i="6"/>
  <c r="B3" i="24"/>
  <c r="B3" i="23"/>
  <c r="B3" i="7"/>
  <c r="C49" i="24"/>
  <c r="B49" i="24"/>
  <c r="C48" i="24"/>
  <c r="B48" i="24"/>
  <c r="C47" i="24"/>
  <c r="B47" i="24"/>
  <c r="C46" i="24"/>
  <c r="D46" i="24" s="1"/>
  <c r="B46" i="24"/>
  <c r="C45" i="24"/>
  <c r="B45" i="24"/>
  <c r="C44" i="24"/>
  <c r="B44" i="24"/>
  <c r="C43" i="24"/>
  <c r="B43" i="24"/>
  <c r="D42" i="24"/>
  <c r="C42" i="24"/>
  <c r="B42" i="24"/>
  <c r="C41" i="24"/>
  <c r="B41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E7" i="24" s="1"/>
  <c r="B6" i="24"/>
  <c r="C5" i="24"/>
  <c r="B5" i="24"/>
  <c r="C49" i="23"/>
  <c r="B49" i="23"/>
  <c r="C48" i="23"/>
  <c r="B48" i="23"/>
  <c r="C47" i="23"/>
  <c r="B47" i="23"/>
  <c r="C46" i="23"/>
  <c r="B46" i="23"/>
  <c r="C45" i="23"/>
  <c r="F45" i="23" s="1"/>
  <c r="B45" i="23"/>
  <c r="C44" i="23"/>
  <c r="G44" i="23" s="1"/>
  <c r="B44" i="23"/>
  <c r="C43" i="23"/>
  <c r="G43" i="23" s="1"/>
  <c r="B43" i="23"/>
  <c r="D42" i="23"/>
  <c r="C42" i="23"/>
  <c r="B42" i="23"/>
  <c r="C41" i="23"/>
  <c r="G41" i="23" s="1"/>
  <c r="B41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C35" i="23"/>
  <c r="B35" i="23"/>
  <c r="C34" i="23"/>
  <c r="B34" i="23"/>
  <c r="C33" i="23"/>
  <c r="G33" i="23" s="1"/>
  <c r="B33" i="23"/>
  <c r="C32" i="23"/>
  <c r="E32" i="23" s="1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G25" i="23" s="1"/>
  <c r="B25" i="23"/>
  <c r="C24" i="23"/>
  <c r="F24" i="23" s="1"/>
  <c r="B24" i="23"/>
  <c r="C23" i="23"/>
  <c r="G23" i="23" s="1"/>
  <c r="B23" i="23"/>
  <c r="C22" i="23"/>
  <c r="G22" i="23" s="1"/>
  <c r="B22" i="23"/>
  <c r="C21" i="23"/>
  <c r="E21" i="23" s="1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14" i="23"/>
  <c r="G14" i="23" s="1"/>
  <c r="B14" i="23"/>
  <c r="C13" i="23"/>
  <c r="G13" i="23" s="1"/>
  <c r="B13" i="23"/>
  <c r="C12" i="23"/>
  <c r="G12" i="23" s="1"/>
  <c r="B12" i="23"/>
  <c r="C11" i="23"/>
  <c r="F11" i="23" s="1"/>
  <c r="B11" i="23"/>
  <c r="C10" i="23"/>
  <c r="B10" i="23"/>
  <c r="C9" i="23"/>
  <c r="B9" i="23"/>
  <c r="C8" i="23"/>
  <c r="B8" i="23"/>
  <c r="C7" i="23"/>
  <c r="B7" i="23"/>
  <c r="C6" i="23"/>
  <c r="F10" i="23" s="1"/>
  <c r="B6" i="23"/>
  <c r="C5" i="23"/>
  <c r="E42" i="23" s="1"/>
  <c r="B5" i="23"/>
  <c r="G9" i="24" l="1"/>
  <c r="G29" i="25"/>
  <c r="G16" i="24"/>
  <c r="F7" i="24"/>
  <c r="G10" i="24"/>
  <c r="E7" i="23"/>
  <c r="G27" i="23"/>
  <c r="F46" i="23"/>
  <c r="G32" i="24"/>
  <c r="G41" i="24"/>
  <c r="E23" i="25"/>
  <c r="E17" i="24"/>
  <c r="E15" i="23"/>
  <c r="G17" i="23"/>
  <c r="F22" i="24"/>
  <c r="G13" i="25"/>
  <c r="E27" i="24"/>
  <c r="E47" i="23"/>
  <c r="E33" i="24"/>
  <c r="F24" i="25"/>
  <c r="G44" i="25"/>
  <c r="G28" i="24"/>
  <c r="G31" i="24"/>
  <c r="G7" i="23"/>
  <c r="E12" i="24"/>
  <c r="G23" i="24"/>
  <c r="F14" i="25"/>
  <c r="F26" i="23"/>
  <c r="F7" i="23"/>
  <c r="G18" i="23"/>
  <c r="E42" i="25"/>
  <c r="F25" i="25"/>
  <c r="F45" i="25"/>
  <c r="G47" i="24"/>
  <c r="F29" i="24"/>
  <c r="G11" i="24"/>
  <c r="G28" i="23"/>
  <c r="E29" i="23"/>
  <c r="G13" i="24"/>
  <c r="G24" i="24"/>
  <c r="F43" i="24"/>
  <c r="F15" i="25"/>
  <c r="G16" i="23"/>
  <c r="F9" i="23"/>
  <c r="G26" i="25"/>
  <c r="G46" i="25"/>
  <c r="G7" i="24"/>
  <c r="E18" i="24"/>
  <c r="G30" i="23"/>
  <c r="E14" i="24"/>
  <c r="F25" i="24"/>
  <c r="G44" i="24"/>
  <c r="F16" i="25"/>
  <c r="G45" i="24"/>
  <c r="F19" i="24"/>
  <c r="G45" i="23"/>
  <c r="G21" i="24"/>
  <c r="F19" i="23"/>
  <c r="E10" i="23"/>
  <c r="F31" i="23"/>
  <c r="F45" i="24"/>
  <c r="H45" i="24" s="1"/>
  <c r="G45" i="8" s="1"/>
  <c r="E27" i="25"/>
  <c r="G47" i="25"/>
  <c r="G30" i="24"/>
  <c r="F15" i="24"/>
  <c r="E26" i="24"/>
  <c r="E45" i="24"/>
  <c r="G17" i="25"/>
  <c r="H7" i="25"/>
  <c r="H7" i="8" s="1"/>
  <c r="G33" i="25"/>
  <c r="G43" i="25"/>
  <c r="G23" i="25"/>
  <c r="E9" i="25"/>
  <c r="G27" i="25"/>
  <c r="D47" i="25"/>
  <c r="E33" i="25"/>
  <c r="F22" i="25"/>
  <c r="G11" i="25"/>
  <c r="E26" i="25"/>
  <c r="G15" i="25"/>
  <c r="E46" i="25"/>
  <c r="E43" i="25"/>
  <c r="G19" i="25"/>
  <c r="F23" i="25"/>
  <c r="H23" i="25" s="1"/>
  <c r="H23" i="8" s="1"/>
  <c r="G12" i="25"/>
  <c r="G42" i="25"/>
  <c r="F11" i="25"/>
  <c r="F26" i="25"/>
  <c r="D46" i="25"/>
  <c r="E30" i="25"/>
  <c r="F30" i="25"/>
  <c r="F46" i="25"/>
  <c r="E12" i="25"/>
  <c r="E5" i="25"/>
  <c r="F9" i="25"/>
  <c r="F31" i="25"/>
  <c r="D44" i="25"/>
  <c r="E47" i="25"/>
  <c r="E13" i="25"/>
  <c r="E24" i="25"/>
  <c r="G31" i="25"/>
  <c r="D41" i="25"/>
  <c r="E44" i="25"/>
  <c r="F47" i="25"/>
  <c r="E19" i="25"/>
  <c r="F43" i="25"/>
  <c r="F27" i="25"/>
  <c r="H27" i="25" s="1"/>
  <c r="H27" i="8" s="1"/>
  <c r="E41" i="25"/>
  <c r="F44" i="25"/>
  <c r="F13" i="25"/>
  <c r="E17" i="25"/>
  <c r="G24" i="25"/>
  <c r="E28" i="25"/>
  <c r="F41" i="25"/>
  <c r="F5" i="25"/>
  <c r="G5" i="25"/>
  <c r="G16" i="25"/>
  <c r="F17" i="25"/>
  <c r="F28" i="25"/>
  <c r="G45" i="25"/>
  <c r="E22" i="25"/>
  <c r="E15" i="25"/>
  <c r="E8" i="25"/>
  <c r="E16" i="25"/>
  <c r="H16" i="25" s="1"/>
  <c r="H16" i="8" s="1"/>
  <c r="E10" i="25"/>
  <c r="E21" i="25"/>
  <c r="E32" i="25"/>
  <c r="F18" i="25"/>
  <c r="F42" i="25"/>
  <c r="E11" i="25"/>
  <c r="F32" i="25"/>
  <c r="F8" i="25"/>
  <c r="G8" i="25"/>
  <c r="F10" i="25"/>
  <c r="E14" i="25"/>
  <c r="E25" i="25"/>
  <c r="D45" i="25"/>
  <c r="F29" i="25"/>
  <c r="H29" i="25" s="1"/>
  <c r="H29" i="8" s="1"/>
  <c r="F21" i="25"/>
  <c r="E45" i="25"/>
  <c r="G14" i="25"/>
  <c r="E18" i="25"/>
  <c r="G25" i="25"/>
  <c r="G15" i="24"/>
  <c r="F46" i="24"/>
  <c r="E16" i="24"/>
  <c r="G42" i="24"/>
  <c r="F33" i="24"/>
  <c r="G22" i="24"/>
  <c r="E30" i="24"/>
  <c r="E46" i="24"/>
  <c r="G8" i="24"/>
  <c r="G46" i="24"/>
  <c r="E5" i="24"/>
  <c r="F16" i="24"/>
  <c r="E9" i="24"/>
  <c r="D44" i="24"/>
  <c r="G33" i="24"/>
  <c r="E19" i="24"/>
  <c r="G29" i="24"/>
  <c r="H7" i="24"/>
  <c r="G7" i="8" s="1"/>
  <c r="E15" i="24"/>
  <c r="E8" i="24"/>
  <c r="F30" i="24"/>
  <c r="F12" i="24"/>
  <c r="G43" i="24"/>
  <c r="G5" i="24"/>
  <c r="G27" i="24"/>
  <c r="E31" i="24"/>
  <c r="D47" i="24"/>
  <c r="F9" i="24"/>
  <c r="F31" i="24"/>
  <c r="E47" i="24"/>
  <c r="E13" i="24"/>
  <c r="E24" i="24"/>
  <c r="D41" i="24"/>
  <c r="E44" i="24"/>
  <c r="F47" i="24"/>
  <c r="F13" i="24"/>
  <c r="F24" i="24"/>
  <c r="E41" i="24"/>
  <c r="F44" i="24"/>
  <c r="E28" i="24"/>
  <c r="F41" i="24"/>
  <c r="F26" i="24"/>
  <c r="G26" i="24"/>
  <c r="F23" i="24"/>
  <c r="G12" i="24"/>
  <c r="F27" i="24"/>
  <c r="F18" i="24"/>
  <c r="G18" i="24"/>
  <c r="E43" i="24"/>
  <c r="E23" i="24"/>
  <c r="G17" i="24"/>
  <c r="E21" i="24"/>
  <c r="E32" i="24"/>
  <c r="F42" i="24"/>
  <c r="G19" i="24"/>
  <c r="F5" i="24"/>
  <c r="F17" i="24"/>
  <c r="E11" i="24"/>
  <c r="E22" i="24"/>
  <c r="F11" i="24"/>
  <c r="D43" i="24"/>
  <c r="F8" i="24"/>
  <c r="F28" i="24"/>
  <c r="E10" i="24"/>
  <c r="F10" i="24"/>
  <c r="F21" i="24"/>
  <c r="F32" i="24"/>
  <c r="E25" i="24"/>
  <c r="D45" i="24"/>
  <c r="F14" i="24"/>
  <c r="G14" i="24"/>
  <c r="G25" i="24"/>
  <c r="E29" i="24"/>
  <c r="E42" i="24"/>
  <c r="H7" i="23"/>
  <c r="F7" i="8" s="1"/>
  <c r="F33" i="23"/>
  <c r="E26" i="23"/>
  <c r="G15" i="23"/>
  <c r="G26" i="23"/>
  <c r="E8" i="23"/>
  <c r="E30" i="23"/>
  <c r="F8" i="23"/>
  <c r="F30" i="23"/>
  <c r="G19" i="23"/>
  <c r="F5" i="23"/>
  <c r="G11" i="23"/>
  <c r="D43" i="23"/>
  <c r="D44" i="23"/>
  <c r="G9" i="23"/>
  <c r="E24" i="23"/>
  <c r="G31" i="23"/>
  <c r="D41" i="23"/>
  <c r="E44" i="23"/>
  <c r="F47" i="23"/>
  <c r="F42" i="23"/>
  <c r="E11" i="23"/>
  <c r="E22" i="23"/>
  <c r="E19" i="23"/>
  <c r="E43" i="23"/>
  <c r="G8" i="23"/>
  <c r="E23" i="23"/>
  <c r="F43" i="23"/>
  <c r="F12" i="23"/>
  <c r="F23" i="23"/>
  <c r="E5" i="23"/>
  <c r="F27" i="23"/>
  <c r="E9" i="23"/>
  <c r="F13" i="23"/>
  <c r="E41" i="23"/>
  <c r="F44" i="23"/>
  <c r="G47" i="23"/>
  <c r="F15" i="23"/>
  <c r="E12" i="23"/>
  <c r="E16" i="23"/>
  <c r="G24" i="23"/>
  <c r="E28" i="23"/>
  <c r="F41" i="23"/>
  <c r="G29" i="23"/>
  <c r="E33" i="23"/>
  <c r="D46" i="23"/>
  <c r="E46" i="23"/>
  <c r="G46" i="23"/>
  <c r="E13" i="23"/>
  <c r="F17" i="23"/>
  <c r="F28" i="23"/>
  <c r="G42" i="23"/>
  <c r="F22" i="23"/>
  <c r="E27" i="23"/>
  <c r="F16" i="23"/>
  <c r="G5" i="23"/>
  <c r="E31" i="23"/>
  <c r="D47" i="23"/>
  <c r="E17" i="23"/>
  <c r="F32" i="23"/>
  <c r="G10" i="23"/>
  <c r="H10" i="23" s="1"/>
  <c r="F10" i="8" s="1"/>
  <c r="E14" i="23"/>
  <c r="G32" i="23"/>
  <c r="D45" i="23"/>
  <c r="F18" i="23"/>
  <c r="F29" i="23"/>
  <c r="F21" i="23"/>
  <c r="G21" i="23"/>
  <c r="E25" i="23"/>
  <c r="F14" i="23"/>
  <c r="F25" i="23"/>
  <c r="E45" i="23"/>
  <c r="E18" i="23"/>
  <c r="H17" i="24" l="1"/>
  <c r="G17" i="8" s="1"/>
  <c r="H45" i="23"/>
  <c r="F45" i="8" s="1"/>
  <c r="G6" i="25"/>
  <c r="H46" i="25"/>
  <c r="H46" i="8" s="1"/>
  <c r="H33" i="25"/>
  <c r="H33" i="8" s="1"/>
  <c r="E40" i="25"/>
  <c r="H42" i="25"/>
  <c r="H42" i="8" s="1"/>
  <c r="H24" i="25"/>
  <c r="H24" i="8" s="1"/>
  <c r="G20" i="25"/>
  <c r="H31" i="25"/>
  <c r="H31" i="8" s="1"/>
  <c r="H12" i="25"/>
  <c r="H12" i="8" s="1"/>
  <c r="F6" i="25"/>
  <c r="H47" i="25"/>
  <c r="H47" i="8" s="1"/>
  <c r="H8" i="25"/>
  <c r="H8" i="8" s="1"/>
  <c r="H22" i="25"/>
  <c r="H22" i="8" s="1"/>
  <c r="H18" i="25"/>
  <c r="H18" i="8" s="1"/>
  <c r="H44" i="25"/>
  <c r="H44" i="8" s="1"/>
  <c r="H26" i="25"/>
  <c r="H26" i="8" s="1"/>
  <c r="H13" i="25"/>
  <c r="H13" i="8" s="1"/>
  <c r="H25" i="25"/>
  <c r="H25" i="8" s="1"/>
  <c r="H30" i="25"/>
  <c r="H30" i="8" s="1"/>
  <c r="H14" i="25"/>
  <c r="H14" i="8" s="1"/>
  <c r="H9" i="25"/>
  <c r="H9" i="8" s="1"/>
  <c r="H17" i="25"/>
  <c r="H17" i="8" s="1"/>
  <c r="H11" i="25"/>
  <c r="H11" i="8" s="1"/>
  <c r="F20" i="25"/>
  <c r="H20" i="25" s="1"/>
  <c r="H20" i="8" s="1"/>
  <c r="E6" i="25"/>
  <c r="H41" i="25"/>
  <c r="H41" i="8" s="1"/>
  <c r="G40" i="25"/>
  <c r="H15" i="25"/>
  <c r="H15" i="8" s="1"/>
  <c r="H32" i="25"/>
  <c r="H32" i="8" s="1"/>
  <c r="H45" i="25"/>
  <c r="H45" i="8" s="1"/>
  <c r="H28" i="25"/>
  <c r="H28" i="8" s="1"/>
  <c r="F40" i="25"/>
  <c r="H21" i="25"/>
  <c r="H21" i="8" s="1"/>
  <c r="E20" i="25"/>
  <c r="H19" i="25"/>
  <c r="H19" i="8" s="1"/>
  <c r="H5" i="25"/>
  <c r="H10" i="25"/>
  <c r="H10" i="8" s="1"/>
  <c r="H43" i="25"/>
  <c r="H43" i="8" s="1"/>
  <c r="H43" i="24"/>
  <c r="G43" i="8" s="1"/>
  <c r="F6" i="24"/>
  <c r="H16" i="23"/>
  <c r="F16" i="8" s="1"/>
  <c r="H33" i="24"/>
  <c r="G33" i="8" s="1"/>
  <c r="H26" i="24"/>
  <c r="G26" i="8" s="1"/>
  <c r="G6" i="24"/>
  <c r="H29" i="24"/>
  <c r="G29" i="8" s="1"/>
  <c r="G20" i="24"/>
  <c r="H14" i="24"/>
  <c r="G14" i="8" s="1"/>
  <c r="H27" i="24"/>
  <c r="G27" i="8" s="1"/>
  <c r="H18" i="24"/>
  <c r="G18" i="8" s="1"/>
  <c r="H12" i="24"/>
  <c r="G12" i="8" s="1"/>
  <c r="H47" i="24"/>
  <c r="G47" i="8" s="1"/>
  <c r="H16" i="24"/>
  <c r="G16" i="8" s="1"/>
  <c r="F40" i="24"/>
  <c r="H24" i="24"/>
  <c r="G24" i="8" s="1"/>
  <c r="H32" i="24"/>
  <c r="G32" i="8" s="1"/>
  <c r="H13" i="24"/>
  <c r="G13" i="8" s="1"/>
  <c r="H30" i="24"/>
  <c r="G30" i="8" s="1"/>
  <c r="H23" i="24"/>
  <c r="G23" i="8" s="1"/>
  <c r="H46" i="24"/>
  <c r="G46" i="8" s="1"/>
  <c r="G40" i="24"/>
  <c r="H42" i="24"/>
  <c r="G42" i="8" s="1"/>
  <c r="E40" i="24"/>
  <c r="H31" i="24"/>
  <c r="G31" i="8" s="1"/>
  <c r="H8" i="24"/>
  <c r="G8" i="8" s="1"/>
  <c r="H21" i="24"/>
  <c r="G21" i="8" s="1"/>
  <c r="E20" i="24"/>
  <c r="H25" i="24"/>
  <c r="G25" i="8" s="1"/>
  <c r="E6" i="24"/>
  <c r="H28" i="24"/>
  <c r="G28" i="8" s="1"/>
  <c r="H22" i="24"/>
  <c r="G22" i="8" s="1"/>
  <c r="H9" i="24"/>
  <c r="G9" i="8" s="1"/>
  <c r="H41" i="24"/>
  <c r="G41" i="8" s="1"/>
  <c r="H11" i="24"/>
  <c r="G11" i="8" s="1"/>
  <c r="F20" i="24"/>
  <c r="H10" i="24"/>
  <c r="G10" i="8" s="1"/>
  <c r="H15" i="24"/>
  <c r="G15" i="8" s="1"/>
  <c r="H19" i="24"/>
  <c r="G19" i="8" s="1"/>
  <c r="H44" i="24"/>
  <c r="G44" i="8" s="1"/>
  <c r="H5" i="24"/>
  <c r="G5" i="8" s="1"/>
  <c r="H11" i="23"/>
  <c r="F11" i="8" s="1"/>
  <c r="H47" i="23"/>
  <c r="F47" i="8" s="1"/>
  <c r="H44" i="23"/>
  <c r="F44" i="8" s="1"/>
  <c r="H29" i="23"/>
  <c r="F29" i="8" s="1"/>
  <c r="H33" i="23"/>
  <c r="F33" i="8" s="1"/>
  <c r="H9" i="23"/>
  <c r="F9" i="8" s="1"/>
  <c r="G40" i="23"/>
  <c r="H32" i="23"/>
  <c r="F32" i="8" s="1"/>
  <c r="G6" i="23"/>
  <c r="H27" i="23"/>
  <c r="F27" i="8" s="1"/>
  <c r="F6" i="23"/>
  <c r="H18" i="23"/>
  <c r="F18" i="8" s="1"/>
  <c r="H13" i="23"/>
  <c r="F13" i="8" s="1"/>
  <c r="H15" i="23"/>
  <c r="F15" i="8" s="1"/>
  <c r="E6" i="23"/>
  <c r="H43" i="23"/>
  <c r="F43" i="8" s="1"/>
  <c r="H19" i="23"/>
  <c r="F19" i="8" s="1"/>
  <c r="H22" i="23"/>
  <c r="F22" i="8" s="1"/>
  <c r="G20" i="23"/>
  <c r="H28" i="23"/>
  <c r="F28" i="8" s="1"/>
  <c r="F40" i="23"/>
  <c r="F20" i="23"/>
  <c r="H14" i="23"/>
  <c r="F14" i="8" s="1"/>
  <c r="H5" i="23"/>
  <c r="H46" i="23"/>
  <c r="F46" i="8" s="1"/>
  <c r="H12" i="23"/>
  <c r="F12" i="8" s="1"/>
  <c r="H30" i="23"/>
  <c r="F30" i="8" s="1"/>
  <c r="H8" i="23"/>
  <c r="F8" i="8" s="1"/>
  <c r="H23" i="23"/>
  <c r="F23" i="8" s="1"/>
  <c r="H26" i="23"/>
  <c r="F26" i="8" s="1"/>
  <c r="H17" i="23"/>
  <c r="F17" i="8" s="1"/>
  <c r="H24" i="23"/>
  <c r="F24" i="8" s="1"/>
  <c r="H42" i="23"/>
  <c r="F42" i="8" s="1"/>
  <c r="E40" i="23"/>
  <c r="H31" i="23"/>
  <c r="F31" i="8" s="1"/>
  <c r="H41" i="23"/>
  <c r="F41" i="8" s="1"/>
  <c r="E20" i="23"/>
  <c r="H25" i="23"/>
  <c r="F25" i="8" s="1"/>
  <c r="H21" i="23"/>
  <c r="F21" i="8" s="1"/>
  <c r="F5" i="8" l="1"/>
  <c r="H5" i="8"/>
  <c r="H40" i="25"/>
  <c r="H40" i="8" s="1"/>
  <c r="H6" i="25"/>
  <c r="H6" i="8" s="1"/>
  <c r="H20" i="24"/>
  <c r="G20" i="8" s="1"/>
  <c r="H6" i="24"/>
  <c r="H40" i="24"/>
  <c r="G40" i="8" s="1"/>
  <c r="H6" i="23"/>
  <c r="F6" i="8" s="1"/>
  <c r="H20" i="23"/>
  <c r="F20" i="8" s="1"/>
  <c r="H40" i="23"/>
  <c r="F40" i="8" s="1"/>
  <c r="H34" i="24" l="1"/>
  <c r="G34" i="8" s="1"/>
  <c r="G6" i="8"/>
  <c r="H34" i="25"/>
  <c r="H34" i="8" s="1"/>
  <c r="H34" i="23"/>
  <c r="F34" i="8" s="1"/>
  <c r="E5" i="7"/>
  <c r="F5" i="7"/>
  <c r="G5" i="7"/>
  <c r="H5" i="7" l="1"/>
  <c r="E5" i="8" s="1"/>
  <c r="D5" i="9"/>
  <c r="E5" i="9"/>
  <c r="F5" i="9"/>
  <c r="G5" i="9"/>
  <c r="C7" i="9"/>
  <c r="C6" i="9"/>
  <c r="C5" i="9"/>
  <c r="C9" i="9" s="1"/>
  <c r="E7" i="10" s="1"/>
  <c r="C49" i="8"/>
  <c r="B49" i="8"/>
  <c r="C48" i="8"/>
  <c r="B48" i="8"/>
  <c r="C47" i="8"/>
  <c r="D47" i="8" s="1"/>
  <c r="B47" i="8"/>
  <c r="C46" i="8"/>
  <c r="D46" i="8" s="1"/>
  <c r="B46" i="8"/>
  <c r="C45" i="8"/>
  <c r="B45" i="8"/>
  <c r="C44" i="8"/>
  <c r="D44" i="8" s="1"/>
  <c r="B44" i="8"/>
  <c r="C43" i="8"/>
  <c r="D43" i="8" s="1"/>
  <c r="B43" i="8"/>
  <c r="C42" i="8"/>
  <c r="D42" i="8" s="1"/>
  <c r="B42" i="8"/>
  <c r="C41" i="8"/>
  <c r="D41" i="8"/>
  <c r="B41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1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2" i="7"/>
  <c r="C43" i="7"/>
  <c r="C44" i="7"/>
  <c r="C45" i="7"/>
  <c r="C46" i="7"/>
  <c r="C47" i="7"/>
  <c r="C48" i="7"/>
  <c r="C49" i="7"/>
  <c r="D42" i="7"/>
  <c r="D44" i="7"/>
  <c r="D47" i="7"/>
  <c r="D36" i="7"/>
  <c r="D39" i="7"/>
  <c r="D45" i="8"/>
  <c r="B35" i="7"/>
  <c r="B47" i="7"/>
  <c r="B48" i="7"/>
  <c r="B49" i="7"/>
  <c r="B40" i="7"/>
  <c r="B41" i="7"/>
  <c r="B42" i="7"/>
  <c r="B43" i="7"/>
  <c r="B44" i="7"/>
  <c r="B45" i="7"/>
  <c r="B46" i="7"/>
  <c r="B39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6" i="7"/>
  <c r="B37" i="7"/>
  <c r="D37" i="7"/>
  <c r="B38" i="7"/>
  <c r="D38" i="7"/>
  <c r="B5" i="7"/>
  <c r="E10" i="7" l="1"/>
  <c r="G10" i="7"/>
  <c r="F15" i="7"/>
  <c r="F10" i="7"/>
  <c r="E15" i="7"/>
  <c r="G15" i="7"/>
  <c r="E26" i="7"/>
  <c r="F9" i="9"/>
  <c r="H8" i="10" s="1"/>
  <c r="F32" i="7"/>
  <c r="G32" i="7"/>
  <c r="E27" i="7"/>
  <c r="G8" i="7"/>
  <c r="F8" i="7"/>
  <c r="D46" i="7"/>
  <c r="F46" i="7"/>
  <c r="G46" i="7"/>
  <c r="F23" i="7"/>
  <c r="G23" i="7"/>
  <c r="F22" i="7"/>
  <c r="G22" i="7"/>
  <c r="G24" i="7"/>
  <c r="F24" i="7"/>
  <c r="D45" i="7"/>
  <c r="F45" i="7"/>
  <c r="G45" i="7"/>
  <c r="F44" i="7"/>
  <c r="G44" i="7"/>
  <c r="F21" i="7"/>
  <c r="G21" i="7"/>
  <c r="D41" i="7"/>
  <c r="F41" i="7"/>
  <c r="G41" i="7"/>
  <c r="D43" i="7"/>
  <c r="F43" i="7"/>
  <c r="G43" i="7"/>
  <c r="E11" i="7"/>
  <c r="F11" i="7"/>
  <c r="G11" i="7"/>
  <c r="F42" i="7"/>
  <c r="G42" i="7"/>
  <c r="G19" i="7"/>
  <c r="F19" i="7"/>
  <c r="E8" i="7"/>
  <c r="F26" i="7"/>
  <c r="G26" i="7"/>
  <c r="F47" i="7"/>
  <c r="G47" i="7"/>
  <c r="G18" i="7"/>
  <c r="F18" i="7"/>
  <c r="F12" i="7"/>
  <c r="G12" i="7"/>
  <c r="F9" i="7"/>
  <c r="G9" i="7"/>
  <c r="F29" i="7"/>
  <c r="G29" i="7"/>
  <c r="F17" i="7"/>
  <c r="G17" i="7"/>
  <c r="F16" i="7"/>
  <c r="G16" i="7"/>
  <c r="F33" i="7"/>
  <c r="G33" i="7"/>
  <c r="E28" i="7"/>
  <c r="G28" i="7"/>
  <c r="F28" i="7"/>
  <c r="F27" i="7"/>
  <c r="G27" i="7"/>
  <c r="F25" i="7"/>
  <c r="G25" i="7"/>
  <c r="F31" i="7"/>
  <c r="G31" i="7"/>
  <c r="G30" i="7"/>
  <c r="F30" i="7"/>
  <c r="G7" i="7"/>
  <c r="F7" i="7"/>
  <c r="G14" i="7"/>
  <c r="F14" i="7"/>
  <c r="F13" i="7"/>
  <c r="G13" i="7"/>
  <c r="E16" i="7"/>
  <c r="E24" i="7"/>
  <c r="E14" i="7"/>
  <c r="E41" i="7"/>
  <c r="E47" i="7"/>
  <c r="E7" i="7"/>
  <c r="E42" i="7"/>
  <c r="E30" i="7"/>
  <c r="E29" i="7"/>
  <c r="E31" i="7"/>
  <c r="E32" i="7"/>
  <c r="E43" i="7"/>
  <c r="E33" i="7"/>
  <c r="E9" i="7"/>
  <c r="H10" i="7"/>
  <c r="E10" i="8" s="1"/>
  <c r="E13" i="7"/>
  <c r="H15" i="7"/>
  <c r="E15" i="8" s="1"/>
  <c r="E19" i="7"/>
  <c r="E21" i="7"/>
  <c r="E22" i="7"/>
  <c r="E23" i="7"/>
  <c r="E25" i="7"/>
  <c r="E44" i="7"/>
  <c r="E18" i="7"/>
  <c r="E17" i="7"/>
  <c r="E46" i="7"/>
  <c r="E45" i="7"/>
  <c r="E12" i="7"/>
  <c r="D9" i="9"/>
  <c r="F8" i="10" s="1"/>
  <c r="I10" i="8"/>
  <c r="G9" i="9"/>
  <c r="I8" i="10" s="1"/>
  <c r="E9" i="9"/>
  <c r="G8" i="10" s="1"/>
  <c r="I15" i="8"/>
  <c r="I5" i="8"/>
  <c r="H8" i="7" l="1"/>
  <c r="E8" i="8" s="1"/>
  <c r="I8" i="8" s="1"/>
  <c r="H22" i="7"/>
  <c r="E22" i="8" s="1"/>
  <c r="H32" i="7"/>
  <c r="E32" i="8" s="1"/>
  <c r="I32" i="8" s="1"/>
  <c r="H13" i="7"/>
  <c r="E13" i="8" s="1"/>
  <c r="I13" i="8" s="1"/>
  <c r="H29" i="7"/>
  <c r="E29" i="8" s="1"/>
  <c r="H14" i="7"/>
  <c r="E14" i="8" s="1"/>
  <c r="I14" i="8" s="1"/>
  <c r="H26" i="7"/>
  <c r="E26" i="8" s="1"/>
  <c r="H12" i="7"/>
  <c r="E12" i="8" s="1"/>
  <c r="I12" i="8" s="1"/>
  <c r="H9" i="7"/>
  <c r="E9" i="8" s="1"/>
  <c r="I9" i="8" s="1"/>
  <c r="H33" i="7"/>
  <c r="E33" i="8" s="1"/>
  <c r="I33" i="8" s="1"/>
  <c r="H17" i="7"/>
  <c r="E17" i="8" s="1"/>
  <c r="I17" i="8" s="1"/>
  <c r="H16" i="7"/>
  <c r="E16" i="8" s="1"/>
  <c r="I16" i="8" s="1"/>
  <c r="H21" i="7"/>
  <c r="E21" i="8" s="1"/>
  <c r="I21" i="8" s="1"/>
  <c r="H31" i="7"/>
  <c r="E31" i="8" s="1"/>
  <c r="I31" i="8" s="1"/>
  <c r="H30" i="7"/>
  <c r="E30" i="8" s="1"/>
  <c r="I30" i="8" s="1"/>
  <c r="H41" i="7"/>
  <c r="E41" i="8" s="1"/>
  <c r="I41" i="8" s="1"/>
  <c r="H43" i="7"/>
  <c r="E43" i="8" s="1"/>
  <c r="I43" i="8" s="1"/>
  <c r="H11" i="7"/>
  <c r="E11" i="8" s="1"/>
  <c r="I11" i="8" s="1"/>
  <c r="F20" i="7"/>
  <c r="H24" i="7"/>
  <c r="E24" i="8" s="1"/>
  <c r="I24" i="8" s="1"/>
  <c r="F40" i="7"/>
  <c r="E20" i="7"/>
  <c r="H25" i="7"/>
  <c r="E25" i="8" s="1"/>
  <c r="I25" i="8" s="1"/>
  <c r="H19" i="7"/>
  <c r="E19" i="8" s="1"/>
  <c r="I19" i="8" s="1"/>
  <c r="H18" i="7"/>
  <c r="E18" i="8" s="1"/>
  <c r="I18" i="8" s="1"/>
  <c r="E6" i="7"/>
  <c r="H7" i="7"/>
  <c r="E7" i="8" s="1"/>
  <c r="I7" i="8" s="1"/>
  <c r="F6" i="7"/>
  <c r="H42" i="7"/>
  <c r="E42" i="8" s="1"/>
  <c r="I42" i="8" s="1"/>
  <c r="H46" i="7"/>
  <c r="E46" i="8" s="1"/>
  <c r="I46" i="8" s="1"/>
  <c r="G6" i="7"/>
  <c r="G20" i="7"/>
  <c r="H27" i="7"/>
  <c r="E27" i="8" s="1"/>
  <c r="I27" i="8" s="1"/>
  <c r="G40" i="7"/>
  <c r="H45" i="7"/>
  <c r="E45" i="8" s="1"/>
  <c r="I45" i="8" s="1"/>
  <c r="H47" i="7"/>
  <c r="E47" i="8" s="1"/>
  <c r="H28" i="7"/>
  <c r="E28" i="8" s="1"/>
  <c r="I28" i="8" s="1"/>
  <c r="H44" i="7"/>
  <c r="E44" i="8" s="1"/>
  <c r="H23" i="7"/>
  <c r="E23" i="8" s="1"/>
  <c r="I23" i="8" s="1"/>
  <c r="E40" i="7"/>
  <c r="I26" i="8"/>
  <c r="I29" i="8"/>
  <c r="G10" i="9"/>
  <c r="D10" i="9"/>
  <c r="C8" i="10" s="1"/>
  <c r="F10" i="9"/>
  <c r="E10" i="9"/>
  <c r="I22" i="8"/>
  <c r="H20" i="7" l="1"/>
  <c r="E20" i="8" s="1"/>
  <c r="I20" i="8" s="1"/>
  <c r="H40" i="7"/>
  <c r="E40" i="8" s="1"/>
  <c r="H6" i="7"/>
  <c r="E6" i="8" s="1"/>
  <c r="I6" i="8" s="1"/>
  <c r="H34" i="7" l="1"/>
  <c r="E34" i="8" s="1"/>
  <c r="I34" i="8"/>
  <c r="H36" i="7" l="1"/>
  <c r="H35" i="6" l="1" a="1"/>
  <c r="H35" i="6" s="1"/>
  <c r="E36" i="8"/>
  <c r="H37" i="7"/>
  <c r="E37" i="8" s="1"/>
  <c r="H38" i="7"/>
  <c r="E38" i="8" s="1"/>
  <c r="H39" i="7"/>
  <c r="E39" i="8" s="1"/>
  <c r="H49" i="7" l="1"/>
  <c r="E49" i="8" s="1"/>
  <c r="D7" i="9" s="1"/>
  <c r="H35" i="23"/>
  <c r="F35" i="8" s="1"/>
  <c r="H48" i="7"/>
  <c r="E48" i="8" s="1"/>
  <c r="D6" i="9" s="1"/>
  <c r="H36" i="23" l="1"/>
  <c r="H37" i="23" l="1"/>
  <c r="F37" i="8" s="1"/>
  <c r="F36" i="8"/>
  <c r="K35" i="6" a="1"/>
  <c r="K35" i="6" s="1"/>
  <c r="H35" i="24" s="1"/>
  <c r="G35" i="8" s="1"/>
  <c r="H38" i="23"/>
  <c r="F38" i="8" s="1"/>
  <c r="H39" i="23"/>
  <c r="H48" i="23"/>
  <c r="F48" i="8" s="1"/>
  <c r="E6" i="9" s="1"/>
  <c r="H49" i="23" l="1"/>
  <c r="F49" i="8" s="1"/>
  <c r="E7" i="9" s="1"/>
  <c r="F39" i="8"/>
  <c r="I40" i="8" l="1"/>
  <c r="I44" i="8"/>
  <c r="I47" i="8"/>
  <c r="H36" i="24" l="1"/>
  <c r="N35" i="6" s="1" a="1"/>
  <c r="N35" i="6" s="1"/>
  <c r="H35" i="25" s="1"/>
  <c r="H38" i="24" l="1"/>
  <c r="G38" i="8" s="1"/>
  <c r="G36" i="8"/>
  <c r="H36" i="25"/>
  <c r="H36" i="8" s="1"/>
  <c r="H35" i="8"/>
  <c r="I35" i="8" s="1"/>
  <c r="H39" i="24"/>
  <c r="H37" i="24"/>
  <c r="H49" i="24" l="1"/>
  <c r="G49" i="8" s="1"/>
  <c r="G39" i="8"/>
  <c r="H48" i="24"/>
  <c r="G48" i="8" s="1"/>
  <c r="G37" i="8"/>
  <c r="Q35" i="6" a="1"/>
  <c r="Q35" i="6" s="1"/>
  <c r="I36" i="8"/>
  <c r="H37" i="25"/>
  <c r="H37" i="8" s="1"/>
  <c r="H39" i="25"/>
  <c r="H38" i="25"/>
  <c r="H38" i="8" s="1"/>
  <c r="I38" i="8" s="1"/>
  <c r="F6" i="9" l="1"/>
  <c r="I37" i="8"/>
  <c r="H49" i="25"/>
  <c r="H49" i="8" s="1"/>
  <c r="G7" i="9" s="1"/>
  <c r="H39" i="8"/>
  <c r="I39" i="8" s="1"/>
  <c r="F7" i="9"/>
  <c r="H48" i="25"/>
  <c r="H48" i="8" s="1"/>
  <c r="G6" i="9" s="1"/>
  <c r="I49" i="8" l="1"/>
  <c r="I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Guilherme Fernando Ferrari</author>
  </authors>
  <commentList>
    <comment ref="E35" authorId="0" shapeId="0" xr:uid="{22074376-B46D-4870-97DB-ED28F5CBD7BF}">
      <text>
        <r>
          <rPr>
            <sz val="9"/>
            <color indexed="81"/>
            <rFont val="Segoe UI"/>
            <family val="2"/>
          </rPr>
          <t>informe o saldo prejuízo fiscal do exercício anterior.</t>
        </r>
      </text>
    </comment>
    <comment ref="Q35" authorId="0" shapeId="0" xr:uid="{6B4F440B-3DD6-465A-9A3C-E20AC93E855A}">
      <text>
        <r>
          <rPr>
            <sz val="9"/>
            <color indexed="81"/>
            <rFont val="Segoe UI"/>
            <family val="2"/>
          </rPr>
          <t>saldo do prejuízo fiscal para o próximo ano.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<sst xmlns="http://schemas.openxmlformats.org/spreadsheetml/2006/main" count="174" uniqueCount="91">
  <si>
    <t>Cadastro:</t>
  </si>
  <si>
    <t>Lançamentos:</t>
  </si>
  <si>
    <t>Resultados:</t>
  </si>
  <si>
    <t>Gráficos:</t>
  </si>
  <si>
    <t>Impressão:</t>
  </si>
  <si>
    <t>função contábil</t>
  </si>
  <si>
    <t>Sobre:</t>
  </si>
  <si>
    <t>Na aba sobre é destinado para publicação do site do desenvolvedor e formas de contato.</t>
  </si>
  <si>
    <t>A Função Contábil, desde 2014, tem como premissa a elaboração e otimização de planilhas eletrônicas na área contábil.</t>
  </si>
  <si>
    <t>#</t>
  </si>
  <si>
    <t>Parâmetros</t>
  </si>
  <si>
    <t>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</si>
  <si>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</si>
  <si>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</si>
  <si>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</si>
  <si>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</si>
  <si>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</si>
  <si>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</si>
  <si>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</si>
  <si>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</si>
  <si>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</si>
  <si>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</si>
  <si>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</si>
  <si>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</si>
  <si>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+</t>
  </si>
  <si>
    <t>Adições</t>
  </si>
  <si>
    <t>Ajustes Devedores de Qualquer Natureza</t>
  </si>
  <si>
    <t>Despesas de Variação Cambial</t>
  </si>
  <si>
    <t>Despesas Particulares dos Sócios e Dirigentes;</t>
  </si>
  <si>
    <t>Doações e Brindes;</t>
  </si>
  <si>
    <t>Impostos Não Pagos em Discussão Judicial;</t>
  </si>
  <si>
    <t>Impostos Não Pagos por Iniciativa da Empresa;</t>
  </si>
  <si>
    <t>Lucro Inflacionário apurado até 31/12/1995;</t>
  </si>
  <si>
    <t>Multas Contratuais</t>
  </si>
  <si>
    <t>Multas Punitivas (Transito, Imetro, Ibama, Multas sobre ação fiscal)</t>
  </si>
  <si>
    <t>Orçamentos, Pedidos e qualquer documento não idôneo;</t>
  </si>
  <si>
    <t>Provisões Indedutíveis (perdas, frete, propaganda)</t>
  </si>
  <si>
    <t>Recibos sem especificação da fonte recebedora;</t>
  </si>
  <si>
    <t>Verbas Rescisórias em desacordo com a legislação trabalhista vigente</t>
  </si>
  <si>
    <t>-</t>
  </si>
  <si>
    <t>Exclusões</t>
  </si>
  <si>
    <t>Ajustes credores de qualquer natureza</t>
  </si>
  <si>
    <t>Decisão Favorável - Processos Judiciais Tributários</t>
  </si>
  <si>
    <t>Despesas de Ágios</t>
  </si>
  <si>
    <t>Distribuição de Lucros e Dividendos;</t>
  </si>
  <si>
    <t>Dividendos Coligadas e Controladas</t>
  </si>
  <si>
    <t>Pagamento de Impostos em Atraso por iniciativa da Empresa</t>
  </si>
  <si>
    <t>Pagamento de Impostos sobre discussão judicial,</t>
  </si>
  <si>
    <t>Receita de Variação Cambial</t>
  </si>
  <si>
    <t>Receitas Obtidas com Tributação Exclusiva ou Isenta de IR</t>
  </si>
  <si>
    <t>Receitas que poderiam ser diferidas;</t>
  </si>
  <si>
    <t>Resultado Positivo de Equivalência Patrimonial</t>
  </si>
  <si>
    <t>Reversão de Provisões Indedutíveis</t>
  </si>
  <si>
    <t>Vendas Não Expedidas do Período</t>
  </si>
  <si>
    <t>=</t>
  </si>
  <si>
    <t>Base de Cálculo</t>
  </si>
  <si>
    <t>Compensação de Prejuízo Fiscal</t>
  </si>
  <si>
    <t>Adicional de Imposto de Renda</t>
  </si>
  <si>
    <t>Imposto de Renda</t>
  </si>
  <si>
    <t>Contribuição Social</t>
  </si>
  <si>
    <t>Compensações</t>
  </si>
  <si>
    <t>IR Base Negativa Exercícios Anteriores</t>
  </si>
  <si>
    <t>IR s/ Aplicações Financeiras</t>
  </si>
  <si>
    <t xml:space="preserve">IR Retida s/ Notas Fiscais </t>
  </si>
  <si>
    <t>IR Pago no Exercício</t>
  </si>
  <si>
    <t>CS Base Negativa Exercícios Anteriores</t>
  </si>
  <si>
    <t>CS Retida s/ Notas Fiscais</t>
  </si>
  <si>
    <t>CS Pago no Exercício</t>
  </si>
  <si>
    <t>Saldo Prejuízo Fiscal</t>
  </si>
  <si>
    <t>Lucro Acumulado</t>
  </si>
  <si>
    <t>Imposto de Renda a Pagar</t>
  </si>
  <si>
    <t>Contribuição Social a Pagar</t>
  </si>
  <si>
    <t>Média</t>
  </si>
  <si>
    <t>1.</t>
  </si>
  <si>
    <t>Resultados Consolidados</t>
  </si>
  <si>
    <t>Média Anual</t>
  </si>
  <si>
    <t>2.</t>
  </si>
  <si>
    <t>Gráfico</t>
  </si>
  <si>
    <t>Na aba de resultados consta o resumo do anual do impostos de renda, contribuição social e média;</t>
  </si>
  <si>
    <t>Na aba de gráficos representa a evolução dos impostos por mês;</t>
  </si>
  <si>
    <t>Na aba de impressão dos relatórios do lucro real;</t>
  </si>
  <si>
    <t>Na aba de cadastro de tabelas com as alíquotas do lucro real (imposto de renda e contribuição social), lucro acumulado e compensações de impostos ;</t>
  </si>
  <si>
    <t>Na aba de lançamentos automáticos dos cálculos mensais dos impostos;</t>
  </si>
  <si>
    <r>
      <rPr>
        <sz val="10"/>
        <color theme="0" tint="-0.249977111117893"/>
        <rFont val="Segoe UI"/>
        <family val="2"/>
      </rPr>
      <t>PLANILHA DE</t>
    </r>
    <r>
      <rPr>
        <sz val="10"/>
        <color rgb="FF333333"/>
        <rFont val="Segoe UI"/>
        <family val="2"/>
      </rPr>
      <t xml:space="preserve"> </t>
    </r>
    <r>
      <rPr>
        <b/>
        <sz val="18"/>
        <color rgb="FF333333"/>
        <rFont val="Segoe UI"/>
        <family val="2"/>
      </rPr>
      <t>LUCRO REAL TRIMESTRAL - IR e CS</t>
    </r>
    <r>
      <rPr>
        <sz val="10"/>
        <color rgb="FF333333"/>
        <rFont val="Segoe UI"/>
        <family val="2"/>
      </rPr>
      <t xml:space="preserve">            </t>
    </r>
    <r>
      <rPr>
        <b/>
        <sz val="10"/>
        <color rgb="FF333333"/>
        <rFont val="Segoe UI"/>
        <family val="2"/>
      </rPr>
      <t>ATENÇÃO:</t>
    </r>
    <r>
      <rPr>
        <sz val="10"/>
        <color rgb="FF333333"/>
        <rFont val="Segoe UI"/>
        <family val="2"/>
      </rPr>
      <t xml:space="preserve"> Esta é uma planilha demonstrativa</t>
    </r>
  </si>
  <si>
    <r>
      <t xml:space="preserve">RESULTADO DO </t>
    </r>
    <r>
      <rPr>
        <b/>
        <sz val="18"/>
        <rFont val="Segoe UI"/>
        <family val="2"/>
      </rPr>
      <t>LUCRO REAL TRIMESTRAL - IR e CS</t>
    </r>
  </si>
  <si>
    <t>1° Trimestre</t>
  </si>
  <si>
    <t>2° Trimestre</t>
  </si>
  <si>
    <t>3° Trimestre</t>
  </si>
  <si>
    <t>4° Trimestre</t>
  </si>
  <si>
    <r>
      <rPr>
        <sz val="10"/>
        <color theme="0" tint="-0.34998626667073579"/>
        <rFont val="Segoe UI"/>
        <family val="2"/>
      </rPr>
      <t xml:space="preserve">GRÁFICO DO </t>
    </r>
    <r>
      <rPr>
        <b/>
        <sz val="18"/>
        <rFont val="Segoe UI"/>
        <family val="2"/>
      </rPr>
      <t>LUCRO REAL TRIMESTRAL - IR e CS</t>
    </r>
  </si>
  <si>
    <r>
      <rPr>
        <sz val="10"/>
        <color theme="0" tint="-0.34998626667073579"/>
        <rFont val="Segoe UI"/>
        <family val="2"/>
      </rPr>
      <t>RELATÓRIO DO</t>
    </r>
    <r>
      <rPr>
        <b/>
        <sz val="18"/>
        <rFont val="Segoe UI"/>
        <family val="2"/>
      </rPr>
      <t xml:space="preserve"> LUCRO REAL TRIMESTRAL - IR e 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</si>
</sst>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&quot;° Trimestre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0"/>
      <name val="Segoe UI"/>
      <family val="2"/>
    </font>
    <font>
      <sz val="9"/>
      <color theme="0" tint="-0.34998626667073579"/>
      <name val="Segoe UI"/>
      <family val="2"/>
    </font>
    <font>
      <sz val="10"/>
      <color rgb="FF000000"/>
      <name val="Segoe UI"/>
      <family val="2"/>
    </font>
    <font>
      <sz val="10"/>
      <color theme="4"/>
      <name val="Segoe UI"/>
      <family val="2"/>
    </font>
    <font>
      <sz val="9"/>
      <color theme="1"/>
      <name val="Segoe UI"/>
      <family val="2"/>
    </font>
    <font>
      <sz val="9"/>
      <color theme="0"/>
      <name val="Segoe UI"/>
      <family val="2"/>
    </font>
    <font>
      <sz val="9"/>
      <color theme="0" tint="-0.249977111117893"/>
      <name val="Segoe UI"/>
      <family val="2"/>
    </font>
    <font>
      <sz val="10"/>
      <color rgb="FF333333"/>
      <name val="Segoe UI"/>
      <family val="2"/>
    </font>
    <font>
      <sz val="10"/>
      <color theme="0" tint="-0.249977111117893"/>
      <name val="Segoe UI"/>
      <family val="2"/>
    </font>
    <font>
      <b/>
      <sz val="18"/>
      <color rgb="FF333333"/>
      <name val="Segoe UI"/>
      <family val="2"/>
    </font>
    <font>
      <sz val="10"/>
      <color theme="0" tint="-0.34998626667073579"/>
      <name val="Segoe UI"/>
      <family val="2"/>
    </font>
    <font>
      <b/>
      <sz val="10"/>
      <color theme="0" tint="-0.34998626667073579"/>
      <name val="Segoe UI"/>
      <family val="2"/>
    </font>
    <font>
      <b/>
      <sz val="18"/>
      <name val="Segoe UI"/>
      <family val="2"/>
    </font>
    <font>
      <b/>
      <sz val="10"/>
      <color rgb="FF333333"/>
      <name val="Segoe U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indexed="81"/>
      <name val="Segoe UI"/>
      <family val="2"/>
    </font>
    <font>
      <sz val="9"/>
      <name val="Segoe UI"/>
      <family val="2"/>
    </font>
    <font>
      <b/>
      <sz val="10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0" borderId="0" xfId="1" applyFont="1" applyAlignment="1"/>
    <xf numFmtId="0" fontId="2" fillId="0" borderId="1" xfId="0" applyFont="1" applyBorder="1"/>
    <xf numFmtId="0" fontId="2" fillId="0" borderId="0" xfId="0" applyFont="1"/>
    <xf numFmtId="0" fontId="5" fillId="0" borderId="0" xfId="1" applyFont="1" applyProtection="1"/>
    <xf numFmtId="0" fontId="8" fillId="0" borderId="1" xfId="0" applyFont="1" applyBorder="1"/>
    <xf numFmtId="0" fontId="8" fillId="0" borderId="0" xfId="0" applyFont="1"/>
    <xf numFmtId="0" fontId="5" fillId="0" borderId="0" xfId="1" applyFont="1" applyBorder="1" applyProtection="1"/>
    <xf numFmtId="0" fontId="1" fillId="0" borderId="0" xfId="0" applyFont="1"/>
    <xf numFmtId="0" fontId="1" fillId="0" borderId="1" xfId="0" applyFont="1" applyBorder="1"/>
    <xf numFmtId="0" fontId="4" fillId="0" borderId="1" xfId="0" applyFont="1" applyBorder="1"/>
    <xf numFmtId="0" fontId="9" fillId="0" borderId="0" xfId="0" applyFont="1"/>
    <xf numFmtId="0" fontId="10" fillId="0" borderId="0" xfId="1" applyFont="1" applyBorder="1" applyProtection="1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0" borderId="0" xfId="1" applyFont="1"/>
    <xf numFmtId="0" fontId="6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/>
    <xf numFmtId="0" fontId="9" fillId="0" borderId="0" xfId="1" applyFont="1" applyFill="1" applyProtection="1"/>
    <xf numFmtId="0" fontId="4" fillId="3" borderId="2" xfId="0" applyFont="1" applyFill="1" applyBorder="1" applyAlignment="1">
      <alignment horizontal="center" vertical="center" wrapText="1"/>
    </xf>
    <xf numFmtId="43" fontId="19" fillId="0" borderId="3" xfId="2" applyFont="1" applyBorder="1" applyAlignment="1" applyProtection="1">
      <alignment horizontal="center" vertical="center"/>
    </xf>
    <xf numFmtId="0" fontId="19" fillId="0" borderId="3" xfId="2" applyNumberFormat="1" applyFont="1" applyBorder="1" applyAlignment="1" applyProtection="1">
      <alignment horizontal="left" vertical="center"/>
    </xf>
    <xf numFmtId="10" fontId="19" fillId="0" borderId="3" xfId="3" applyNumberFormat="1" applyFont="1" applyBorder="1" applyAlignment="1" applyProtection="1">
      <alignment horizontal="center" vertical="center"/>
    </xf>
    <xf numFmtId="43" fontId="6" fillId="0" borderId="3" xfId="2" applyFont="1" applyBorder="1" applyAlignment="1" applyProtection="1">
      <alignment horizontal="center" vertical="center"/>
    </xf>
    <xf numFmtId="0" fontId="6" fillId="0" borderId="3" xfId="2" applyNumberFormat="1" applyFont="1" applyBorder="1" applyAlignment="1" applyProtection="1">
      <alignment horizontal="left" vertical="center"/>
    </xf>
    <xf numFmtId="10" fontId="6" fillId="0" borderId="3" xfId="3" applyNumberFormat="1" applyFont="1" applyBorder="1" applyAlignment="1" applyProtection="1">
      <alignment horizontal="center" vertical="center"/>
    </xf>
    <xf numFmtId="43" fontId="2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0" fontId="4" fillId="0" borderId="3" xfId="3" applyNumberFormat="1" applyFont="1" applyBorder="1" applyAlignment="1" applyProtection="1">
      <alignment horizontal="left" vertical="center"/>
    </xf>
    <xf numFmtId="9" fontId="19" fillId="0" borderId="3" xfId="3" applyFont="1" applyBorder="1" applyAlignment="1" applyProtection="1">
      <alignment horizontal="left" vertical="center"/>
    </xf>
    <xf numFmtId="0" fontId="5" fillId="0" borderId="0" xfId="1" applyFont="1" applyFill="1" applyProtection="1"/>
    <xf numFmtId="0" fontId="9" fillId="0" borderId="0" xfId="2" applyNumberFormat="1" applyFont="1" applyBorder="1" applyAlignment="1" applyProtection="1">
      <alignment horizontal="left" vertical="center"/>
    </xf>
    <xf numFmtId="43" fontId="9" fillId="0" borderId="0" xfId="2" applyFont="1" applyBorder="1" applyAlignment="1" applyProtection="1">
      <alignment horizontal="left" vertical="center"/>
    </xf>
    <xf numFmtId="43" fontId="9" fillId="0" borderId="0" xfId="2" applyFont="1" applyProtection="1"/>
    <xf numFmtId="0" fontId="9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3" fontId="19" fillId="0" borderId="3" xfId="2" applyFont="1" applyBorder="1" applyAlignment="1" applyProtection="1">
      <alignment horizontal="left" vertical="center"/>
    </xf>
    <xf numFmtId="43" fontId="6" fillId="0" borderId="3" xfId="2" applyFont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43" fontId="6" fillId="0" borderId="0" xfId="2" applyFont="1" applyBorder="1" applyAlignment="1" applyProtection="1">
      <alignment horizontal="left" vertical="center"/>
    </xf>
    <xf numFmtId="0" fontId="8" fillId="4" borderId="0" xfId="0" applyFont="1" applyFill="1"/>
    <xf numFmtId="0" fontId="11" fillId="4" borderId="0" xfId="0" applyFont="1" applyFill="1"/>
    <xf numFmtId="0" fontId="1" fillId="4" borderId="0" xfId="0" applyFont="1" applyFill="1"/>
    <xf numFmtId="164" fontId="4" fillId="3" borderId="2" xfId="0" applyNumberFormat="1" applyFont="1" applyFill="1" applyBorder="1" applyAlignment="1">
      <alignment horizontal="center" vertical="center" wrapText="1"/>
    </xf>
    <xf numFmtId="43" fontId="21" fillId="0" borderId="0" xfId="0" applyNumberFormat="1" applyFont="1"/>
    <xf numFmtId="43" fontId="6" fillId="5" borderId="3" xfId="2" applyFont="1" applyFill="1" applyBorder="1" applyAlignment="1" applyProtection="1">
      <alignment horizontal="left" vertical="center"/>
      <protection locked="0"/>
    </xf>
    <xf numFmtId="43" fontId="19" fillId="5" borderId="3" xfId="2" applyFont="1" applyFill="1" applyBorder="1" applyAlignment="1" applyProtection="1">
      <alignment horizontal="left" vertical="center"/>
      <protection locked="0"/>
    </xf>
    <xf numFmtId="43" fontId="24" fillId="0" borderId="0" xfId="2" applyFont="1" applyBorder="1" applyAlignment="1" applyProtection="1">
      <alignment horizontal="left" vertical="center"/>
    </xf>
    <xf numFmtId="43" fontId="24" fillId="0" borderId="0" xfId="2" applyFont="1" applyProtection="1"/>
    <xf numFmtId="0" fontId="24" fillId="0" borderId="0" xfId="0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43" fontId="26" fillId="0" borderId="0" xfId="2" applyFont="1" applyBorder="1" applyAlignment="1" applyProtection="1">
      <alignment horizontal="center" vertical="center"/>
    </xf>
    <xf numFmtId="43" fontId="26" fillId="0" borderId="0" xfId="0" applyNumberFormat="1" applyFont="1"/>
    <xf numFmtId="43" fontId="9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4">
    <cellStyle name="Hiperlink" xfId="1" builtinId="8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graf!$C$9</c:f>
          <c:strCache>
            <c:ptCount val="1"/>
            <c:pt idx="0">
              <c:v>Lucro Acumulado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graf!$C$9</c:f>
              <c:strCache>
                <c:ptCount val="1"/>
                <c:pt idx="0">
                  <c:v>Lucro Acumulado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graf!$D$8:$G$8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graf!$D$9:$G$9</c:f>
              <c:numCache>
                <c:formatCode>_(* #,##0.00_);_(* \(#,##0.00\);_(* "-"??_);_(@_)</c:formatCode>
                <c:ptCount val="4"/>
                <c:pt idx="0">
                  <c:v>80000</c:v>
                </c:pt>
                <c:pt idx="1">
                  <c:v>-40000</c:v>
                </c:pt>
                <c:pt idx="2">
                  <c:v>70000</c:v>
                </c:pt>
                <c:pt idx="3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0-41ED-BCA9-FDFCF1DB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075583"/>
        <c:axId val="1368733167"/>
      </c:barChart>
      <c:lineChart>
        <c:grouping val="standard"/>
        <c:varyColors val="0"/>
        <c:ser>
          <c:idx val="1"/>
          <c:order val="1"/>
          <c:tx>
            <c:strRef>
              <c:f>graf!$C$10</c:f>
              <c:strCache>
                <c:ptCount val="1"/>
                <c:pt idx="0">
                  <c:v>Média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graf!$D$8:$G$8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graf!$D$10:$G$10</c:f>
              <c:numCache>
                <c:formatCode>_(* #,##0.00_);_(* \(#,##0.00\);_(* "-"??_);_(@_)</c:formatCode>
                <c:ptCount val="4"/>
                <c:pt idx="0">
                  <c:v>55000</c:v>
                </c:pt>
                <c:pt idx="1">
                  <c:v>55000</c:v>
                </c:pt>
                <c:pt idx="2">
                  <c:v>55000</c:v>
                </c:pt>
                <c:pt idx="3">
                  <c:v>55000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00-41ED-BCA9-FDFCF1DB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75583"/>
        <c:axId val="1368733167"/>
      </c:lineChart>
      <c:catAx>
        <c:axId val="13340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733167"/>
        <c:crosses val="autoZero"/>
        <c:auto val="1"/>
        <c:lblAlgn val="ctr"/>
        <c:lblOffset val="100"/>
        <c:noMultiLvlLbl val="0"/>
      </c:catAx>
      <c:valAx>
        <c:axId val="1368733167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07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graf!$C$9</c:f>
          <c:strCache>
            <c:ptCount val="1"/>
            <c:pt idx="0">
              <c:v>Lucro Acumulado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graf!$C$9</c:f>
              <c:strCache>
                <c:ptCount val="1"/>
                <c:pt idx="0">
                  <c:v>Lucro Acumulado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graf!$D$8:$G$8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graf!$D$9:$G$9</c:f>
              <c:numCache>
                <c:formatCode>_(* #,##0.00_);_(* \(#,##0.00\);_(* "-"??_);_(@_)</c:formatCode>
                <c:ptCount val="4"/>
                <c:pt idx="0">
                  <c:v>80000</c:v>
                </c:pt>
                <c:pt idx="1">
                  <c:v>-40000</c:v>
                </c:pt>
                <c:pt idx="2">
                  <c:v>70000</c:v>
                </c:pt>
                <c:pt idx="3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5-458D-86BD-0E03F4AD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075583"/>
        <c:axId val="1368733167"/>
      </c:barChart>
      <c:lineChart>
        <c:grouping val="standard"/>
        <c:varyColors val="0"/>
        <c:ser>
          <c:idx val="1"/>
          <c:order val="1"/>
          <c:tx>
            <c:strRef>
              <c:f>graf!$C$10</c:f>
              <c:strCache>
                <c:ptCount val="1"/>
                <c:pt idx="0">
                  <c:v>Média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graf!$D$8:$G$8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graf!$D$10:$G$10</c:f>
              <c:numCache>
                <c:formatCode>_(* #,##0.00_);_(* \(#,##0.00\);_(* "-"??_);_(@_)</c:formatCode>
                <c:ptCount val="4"/>
                <c:pt idx="0">
                  <c:v>55000</c:v>
                </c:pt>
                <c:pt idx="1">
                  <c:v>55000</c:v>
                </c:pt>
                <c:pt idx="2">
                  <c:v>55000</c:v>
                </c:pt>
                <c:pt idx="3">
                  <c:v>55000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865-458D-86BD-0E03F4AD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75583"/>
        <c:axId val="1368733167"/>
      </c:lineChart>
      <c:catAx>
        <c:axId val="13340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733167"/>
        <c:crosses val="autoZero"/>
        <c:auto val="1"/>
        <c:lblAlgn val="ctr"/>
        <c:lblOffset val="100"/>
        <c:noMultiLvlLbl val="0"/>
      </c:catAx>
      <c:valAx>
        <c:axId val="1368733167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07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Lines="3" dropStyle="combo" dx="22" fmlaLink="$B$5" fmlaRange="$C$5:$C$7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https://www.funcaocontabil.net/product-page/lucro-real-trimestral" TargetMode="External"/><Relationship Id="rId3" Type="http://schemas.openxmlformats.org/officeDocument/2006/relationships/hyperlink" Target="#result!A1"/><Relationship Id="rId7" Type="http://schemas.openxmlformats.org/officeDocument/2006/relationships/hyperlink" Target="https://www.funcaocontabil.net/" TargetMode="External"/><Relationship Id="rId12" Type="http://schemas.openxmlformats.org/officeDocument/2006/relationships/hyperlink" Target="https://youtu.be/mqPKkUfLzFE" TargetMode="External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11" Type="http://schemas.openxmlformats.org/officeDocument/2006/relationships/image" Target="../media/image3.svg"/><Relationship Id="rId5" Type="http://schemas.openxmlformats.org/officeDocument/2006/relationships/hyperlink" Target="#imp!A1"/><Relationship Id="rId10" Type="http://schemas.openxmlformats.org/officeDocument/2006/relationships/image" Target="../media/image2.png"/><Relationship Id="rId4" Type="http://schemas.openxmlformats.org/officeDocument/2006/relationships/hyperlink" Target="#graf!A1"/><Relationship Id="rId9" Type="http://schemas.openxmlformats.org/officeDocument/2006/relationships/hyperlink" Target="#sob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result!A1"/><Relationship Id="rId7" Type="http://schemas.openxmlformats.org/officeDocument/2006/relationships/hyperlink" Target="https://www.funcaocontabil.net/" TargetMode="External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5" Type="http://schemas.openxmlformats.org/officeDocument/2006/relationships/hyperlink" Target="#imp!A1"/><Relationship Id="rId4" Type="http://schemas.openxmlformats.org/officeDocument/2006/relationships/hyperlink" Target="#graf!A1"/><Relationship Id="rId9" Type="http://schemas.openxmlformats.org/officeDocument/2006/relationships/hyperlink" Target="#sobr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3 trim'!A1"/><Relationship Id="rId3" Type="http://schemas.openxmlformats.org/officeDocument/2006/relationships/hyperlink" Target="#result!A1"/><Relationship Id="rId7" Type="http://schemas.openxmlformats.org/officeDocument/2006/relationships/hyperlink" Target="#'2 trim'!A1"/><Relationship Id="rId12" Type="http://schemas.openxmlformats.org/officeDocument/2006/relationships/hyperlink" Target="#sobre!A1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11" Type="http://schemas.openxmlformats.org/officeDocument/2006/relationships/image" Target="../media/image1.png"/><Relationship Id="rId5" Type="http://schemas.openxmlformats.org/officeDocument/2006/relationships/hyperlink" Target="#imp!A1"/><Relationship Id="rId10" Type="http://schemas.openxmlformats.org/officeDocument/2006/relationships/hyperlink" Target="https://www.funcaocontabil.net/" TargetMode="External"/><Relationship Id="rId4" Type="http://schemas.openxmlformats.org/officeDocument/2006/relationships/hyperlink" Target="#graf!A1"/><Relationship Id="rId9" Type="http://schemas.openxmlformats.org/officeDocument/2006/relationships/hyperlink" Target="#'4 trim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3 trim'!A1"/><Relationship Id="rId3" Type="http://schemas.openxmlformats.org/officeDocument/2006/relationships/hyperlink" Target="#result!A1"/><Relationship Id="rId7" Type="http://schemas.openxmlformats.org/officeDocument/2006/relationships/hyperlink" Target="#'2 trim'!A1"/><Relationship Id="rId12" Type="http://schemas.openxmlformats.org/officeDocument/2006/relationships/hyperlink" Target="#sobre!A1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11" Type="http://schemas.openxmlformats.org/officeDocument/2006/relationships/image" Target="../media/image1.png"/><Relationship Id="rId5" Type="http://schemas.openxmlformats.org/officeDocument/2006/relationships/hyperlink" Target="#imp!A1"/><Relationship Id="rId10" Type="http://schemas.openxmlformats.org/officeDocument/2006/relationships/hyperlink" Target="https://www.funcaocontabil.net/" TargetMode="External"/><Relationship Id="rId4" Type="http://schemas.openxmlformats.org/officeDocument/2006/relationships/hyperlink" Target="#graf!A1"/><Relationship Id="rId9" Type="http://schemas.openxmlformats.org/officeDocument/2006/relationships/hyperlink" Target="#'4 trim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3 trim'!A1"/><Relationship Id="rId3" Type="http://schemas.openxmlformats.org/officeDocument/2006/relationships/hyperlink" Target="#result!A1"/><Relationship Id="rId7" Type="http://schemas.openxmlformats.org/officeDocument/2006/relationships/hyperlink" Target="#'2 trim'!A1"/><Relationship Id="rId12" Type="http://schemas.openxmlformats.org/officeDocument/2006/relationships/hyperlink" Target="#sobre!A1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11" Type="http://schemas.openxmlformats.org/officeDocument/2006/relationships/image" Target="../media/image1.png"/><Relationship Id="rId5" Type="http://schemas.openxmlformats.org/officeDocument/2006/relationships/hyperlink" Target="#imp!A1"/><Relationship Id="rId10" Type="http://schemas.openxmlformats.org/officeDocument/2006/relationships/hyperlink" Target="https://www.funcaocontabil.net/" TargetMode="External"/><Relationship Id="rId4" Type="http://schemas.openxmlformats.org/officeDocument/2006/relationships/hyperlink" Target="#graf!A1"/><Relationship Id="rId9" Type="http://schemas.openxmlformats.org/officeDocument/2006/relationships/hyperlink" Target="#'4 trim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3 trim'!A1"/><Relationship Id="rId3" Type="http://schemas.openxmlformats.org/officeDocument/2006/relationships/hyperlink" Target="#result!A1"/><Relationship Id="rId7" Type="http://schemas.openxmlformats.org/officeDocument/2006/relationships/hyperlink" Target="#'2 trim'!A1"/><Relationship Id="rId12" Type="http://schemas.openxmlformats.org/officeDocument/2006/relationships/hyperlink" Target="#sobre!A1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11" Type="http://schemas.openxmlformats.org/officeDocument/2006/relationships/image" Target="../media/image1.png"/><Relationship Id="rId5" Type="http://schemas.openxmlformats.org/officeDocument/2006/relationships/hyperlink" Target="#imp!A1"/><Relationship Id="rId10" Type="http://schemas.openxmlformats.org/officeDocument/2006/relationships/hyperlink" Target="https://www.funcaocontabil.net/" TargetMode="External"/><Relationship Id="rId4" Type="http://schemas.openxmlformats.org/officeDocument/2006/relationships/hyperlink" Target="#graf!A1"/><Relationship Id="rId9" Type="http://schemas.openxmlformats.org/officeDocument/2006/relationships/hyperlink" Target="#'4 trim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result!A1"/><Relationship Id="rId7" Type="http://schemas.openxmlformats.org/officeDocument/2006/relationships/hyperlink" Target="https://www.funcaocontabil.net/" TargetMode="External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5" Type="http://schemas.openxmlformats.org/officeDocument/2006/relationships/hyperlink" Target="#imp!A1"/><Relationship Id="rId4" Type="http://schemas.openxmlformats.org/officeDocument/2006/relationships/hyperlink" Target="#graf!A1"/><Relationship Id="rId9" Type="http://schemas.openxmlformats.org/officeDocument/2006/relationships/hyperlink" Target="#sobr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result!A1"/><Relationship Id="rId7" Type="http://schemas.openxmlformats.org/officeDocument/2006/relationships/hyperlink" Target="https://www.funcaocontabil.net/" TargetMode="External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5" Type="http://schemas.openxmlformats.org/officeDocument/2006/relationships/hyperlink" Target="#imp!A1"/><Relationship Id="rId10" Type="http://schemas.openxmlformats.org/officeDocument/2006/relationships/chart" Target="../charts/chart1.xml"/><Relationship Id="rId4" Type="http://schemas.openxmlformats.org/officeDocument/2006/relationships/hyperlink" Target="#graf!A1"/><Relationship Id="rId9" Type="http://schemas.openxmlformats.org/officeDocument/2006/relationships/hyperlink" Target="#sobr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result!A1"/><Relationship Id="rId7" Type="http://schemas.openxmlformats.org/officeDocument/2006/relationships/hyperlink" Target="https://www.funcaocontabil.net/" TargetMode="External"/><Relationship Id="rId2" Type="http://schemas.openxmlformats.org/officeDocument/2006/relationships/hyperlink" Target="#'1 trim'!A1"/><Relationship Id="rId1" Type="http://schemas.openxmlformats.org/officeDocument/2006/relationships/hyperlink" Target="#tab!A1"/><Relationship Id="rId6" Type="http://schemas.openxmlformats.org/officeDocument/2006/relationships/hyperlink" Target="#inicio!A1"/><Relationship Id="rId5" Type="http://schemas.openxmlformats.org/officeDocument/2006/relationships/hyperlink" Target="#imp!A1"/><Relationship Id="rId10" Type="http://schemas.openxmlformats.org/officeDocument/2006/relationships/chart" Target="../charts/chart2.xml"/><Relationship Id="rId4" Type="http://schemas.openxmlformats.org/officeDocument/2006/relationships/hyperlink" Target="#graf!A1"/><Relationship Id="rId9" Type="http://schemas.openxmlformats.org/officeDocument/2006/relationships/hyperlink" Target="#sobre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imp!A1"/><Relationship Id="rId13" Type="http://schemas.openxmlformats.org/officeDocument/2006/relationships/hyperlink" Target="https://www.funcaocontabil.net" TargetMode="External"/><Relationship Id="rId3" Type="http://schemas.openxmlformats.org/officeDocument/2006/relationships/image" Target="../media/image5.svg"/><Relationship Id="rId7" Type="http://schemas.openxmlformats.org/officeDocument/2006/relationships/hyperlink" Target="#graf!A1"/><Relationship Id="rId12" Type="http://schemas.openxmlformats.org/officeDocument/2006/relationships/hyperlink" Target="#sobre!A1"/><Relationship Id="rId17" Type="http://schemas.openxmlformats.org/officeDocument/2006/relationships/image" Target="../media/image8.svg"/><Relationship Id="rId2" Type="http://schemas.openxmlformats.org/officeDocument/2006/relationships/image" Target="../media/image4.png"/><Relationship Id="rId16" Type="http://schemas.openxmlformats.org/officeDocument/2006/relationships/image" Target="../media/image7.png"/><Relationship Id="rId1" Type="http://schemas.openxmlformats.org/officeDocument/2006/relationships/hyperlink" Target="https://www.funcaocontabil.net/planilhas" TargetMode="External"/><Relationship Id="rId6" Type="http://schemas.openxmlformats.org/officeDocument/2006/relationships/hyperlink" Target="#result!A1"/><Relationship Id="rId11" Type="http://schemas.openxmlformats.org/officeDocument/2006/relationships/image" Target="../media/image1.png"/><Relationship Id="rId5" Type="http://schemas.openxmlformats.org/officeDocument/2006/relationships/hyperlink" Target="#'1 trim'!A1"/><Relationship Id="rId15" Type="http://schemas.openxmlformats.org/officeDocument/2006/relationships/hyperlink" Target="https://www.funcaocontabil.net/contato" TargetMode="External"/><Relationship Id="rId10" Type="http://schemas.openxmlformats.org/officeDocument/2006/relationships/hyperlink" Target="https://www.funcaocontabil.net/" TargetMode="External"/><Relationship Id="rId4" Type="http://schemas.openxmlformats.org/officeDocument/2006/relationships/hyperlink" Target="#tab!A1"/><Relationship Id="rId9" Type="http://schemas.openxmlformats.org/officeDocument/2006/relationships/hyperlink" Target="#inicio!A1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990600</xdr:colOff>
      <xdr:row>0</xdr:row>
      <xdr:rowOff>171450</xdr:rowOff>
    </xdr:from>
    <xdr:to>
      <xdr:col>4</xdr:col>
      <xdr:colOff>990600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4</xdr:col>
      <xdr:colOff>1066800</xdr:colOff>
      <xdr:row>0</xdr:row>
      <xdr:rowOff>171450</xdr:rowOff>
    </xdr:from>
    <xdr:to>
      <xdr:col>4</xdr:col>
      <xdr:colOff>2066925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4</xdr:col>
      <xdr:colOff>2143125</xdr:colOff>
      <xdr:row>0</xdr:row>
      <xdr:rowOff>171450</xdr:rowOff>
    </xdr:from>
    <xdr:to>
      <xdr:col>4</xdr:col>
      <xdr:colOff>3143250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4</xdr:col>
      <xdr:colOff>3219450</xdr:colOff>
      <xdr:row>0</xdr:row>
      <xdr:rowOff>171450</xdr:rowOff>
    </xdr:from>
    <xdr:to>
      <xdr:col>4</xdr:col>
      <xdr:colOff>4219575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4</xdr:col>
      <xdr:colOff>4305300</xdr:colOff>
      <xdr:row>0</xdr:row>
      <xdr:rowOff>171450</xdr:rowOff>
    </xdr:from>
    <xdr:to>
      <xdr:col>4</xdr:col>
      <xdr:colOff>5305425</xdr:colOff>
      <xdr:row>1</xdr:row>
      <xdr:rowOff>0</xdr:rowOff>
    </xdr:to>
    <xdr:sp macro="" textlink="">
      <xdr:nvSpPr>
        <xdr:cNvPr id="8" name="Retângulo: Cantos Superiore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428625</xdr:colOff>
      <xdr:row>0</xdr:row>
      <xdr:rowOff>171450</xdr:rowOff>
    </xdr:from>
    <xdr:to>
      <xdr:col>3</xdr:col>
      <xdr:colOff>914400</xdr:colOff>
      <xdr:row>1</xdr:row>
      <xdr:rowOff>0</xdr:rowOff>
    </xdr:to>
    <xdr:sp macro="" textlink="">
      <xdr:nvSpPr>
        <xdr:cNvPr id="9" name="Retângulo: Cantos Superiore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0</xdr:row>
      <xdr:rowOff>495184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4</xdr:col>
      <xdr:colOff>5391150</xdr:colOff>
      <xdr:row>0</xdr:row>
      <xdr:rowOff>171450</xdr:rowOff>
    </xdr:from>
    <xdr:to>
      <xdr:col>4</xdr:col>
      <xdr:colOff>6391275</xdr:colOff>
      <xdr:row>1</xdr:row>
      <xdr:rowOff>0</xdr:rowOff>
    </xdr:to>
    <xdr:sp macro="" textlink="">
      <xdr:nvSpPr>
        <xdr:cNvPr id="13" name="Retângulo: Cantos Superiore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67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 editAs="oneCell">
    <xdr:from>
      <xdr:col>4</xdr:col>
      <xdr:colOff>5953125</xdr:colOff>
      <xdr:row>2</xdr:row>
      <xdr:rowOff>28575</xdr:rowOff>
    </xdr:from>
    <xdr:to>
      <xdr:col>4</xdr:col>
      <xdr:colOff>6324601</xdr:colOff>
      <xdr:row>2</xdr:row>
      <xdr:rowOff>361950</xdr:rowOff>
    </xdr:to>
    <xdr:pic>
      <xdr:nvPicPr>
        <xdr:cNvPr id="3" name="Gráfico 2" descr="Clique para assistir tutorial da planilha de Ativo Imobilizado." title="Tutori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8029575" y="704850"/>
          <a:ext cx="371476" cy="333375"/>
        </a:xfrm>
        <a:prstGeom prst="rect">
          <a:avLst/>
        </a:prstGeom>
      </xdr:spPr>
    </xdr:pic>
    <xdr:clientData/>
  </xdr:twoCellAnchor>
  <xdr:twoCellAnchor>
    <xdr:from>
      <xdr:col>4</xdr:col>
      <xdr:colOff>5857875</xdr:colOff>
      <xdr:row>2</xdr:row>
      <xdr:rowOff>19050</xdr:rowOff>
    </xdr:from>
    <xdr:to>
      <xdr:col>4</xdr:col>
      <xdr:colOff>6381750</xdr:colOff>
      <xdr:row>2</xdr:row>
      <xdr:rowOff>361950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34325" y="695325"/>
          <a:ext cx="523875" cy="3429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5953125</xdr:colOff>
      <xdr:row>2</xdr:row>
      <xdr:rowOff>28575</xdr:rowOff>
    </xdr:from>
    <xdr:to>
      <xdr:col>4</xdr:col>
      <xdr:colOff>6324601</xdr:colOff>
      <xdr:row>2</xdr:row>
      <xdr:rowOff>361950</xdr:rowOff>
    </xdr:to>
    <xdr:pic>
      <xdr:nvPicPr>
        <xdr:cNvPr id="14" name="Gráfico 13" descr="Clique para assistir tutorial da planilha de Ativo Imobilizado." title="Tutoria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8029575" y="704850"/>
          <a:ext cx="371476" cy="333375"/>
        </a:xfrm>
        <a:prstGeom prst="rect">
          <a:avLst/>
        </a:prstGeom>
      </xdr:spPr>
    </xdr:pic>
    <xdr:clientData/>
  </xdr:twoCellAnchor>
  <xdr:twoCellAnchor>
    <xdr:from>
      <xdr:col>4</xdr:col>
      <xdr:colOff>5857875</xdr:colOff>
      <xdr:row>2</xdr:row>
      <xdr:rowOff>19050</xdr:rowOff>
    </xdr:from>
    <xdr:to>
      <xdr:col>4</xdr:col>
      <xdr:colOff>6381750</xdr:colOff>
      <xdr:row>2</xdr:row>
      <xdr:rowOff>361950</xdr:rowOff>
    </xdr:to>
    <xdr:sp macro="" textlink="">
      <xdr:nvSpPr>
        <xdr:cNvPr id="15" name="Retângulo: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934325" y="695325"/>
          <a:ext cx="523875" cy="3429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6419850</xdr:colOff>
      <xdr:row>2</xdr:row>
      <xdr:rowOff>19050</xdr:rowOff>
    </xdr:from>
    <xdr:to>
      <xdr:col>6</xdr:col>
      <xdr:colOff>76198</xdr:colOff>
      <xdr:row>2</xdr:row>
      <xdr:rowOff>361950</xdr:rowOff>
    </xdr:to>
    <xdr:sp macro="" textlink="">
      <xdr:nvSpPr>
        <xdr:cNvPr id="16" name="Retângulo: Cantos Arredondados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496300" y="695325"/>
          <a:ext cx="714373" cy="342900"/>
        </a:xfrm>
        <a:prstGeom prst="roundRect">
          <a:avLst/>
        </a:prstGeom>
        <a:solidFill>
          <a:schemeClr val="accen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Comprar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1346200</xdr:colOff>
      <xdr:row>0</xdr:row>
      <xdr:rowOff>171450</xdr:rowOff>
    </xdr:from>
    <xdr:to>
      <xdr:col>2</xdr:col>
      <xdr:colOff>2346325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2</xdr:col>
      <xdr:colOff>2422525</xdr:colOff>
      <xdr:row>0</xdr:row>
      <xdr:rowOff>171450</xdr:rowOff>
    </xdr:from>
    <xdr:to>
      <xdr:col>2</xdr:col>
      <xdr:colOff>3422650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3498850</xdr:colOff>
      <xdr:row>0</xdr:row>
      <xdr:rowOff>171450</xdr:rowOff>
    </xdr:from>
    <xdr:to>
      <xdr:col>4</xdr:col>
      <xdr:colOff>234950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4</xdr:col>
      <xdr:colOff>311150</xdr:colOff>
      <xdr:row>0</xdr:row>
      <xdr:rowOff>171450</xdr:rowOff>
    </xdr:from>
    <xdr:to>
      <xdr:col>5</xdr:col>
      <xdr:colOff>488950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5</xdr:col>
      <xdr:colOff>574675</xdr:colOff>
      <xdr:row>0</xdr:row>
      <xdr:rowOff>171450</xdr:rowOff>
    </xdr:from>
    <xdr:to>
      <xdr:col>6</xdr:col>
      <xdr:colOff>727075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266700</xdr:colOff>
      <xdr:row>0</xdr:row>
      <xdr:rowOff>171450</xdr:rowOff>
    </xdr:from>
    <xdr:to>
      <xdr:col>2</xdr:col>
      <xdr:colOff>1270000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9" name="Imagem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6</xdr:col>
      <xdr:colOff>812800</xdr:colOff>
      <xdr:row>0</xdr:row>
      <xdr:rowOff>171450</xdr:rowOff>
    </xdr:from>
    <xdr:to>
      <xdr:col>8</xdr:col>
      <xdr:colOff>82550</xdr:colOff>
      <xdr:row>1</xdr:row>
      <xdr:rowOff>0</xdr:rowOff>
    </xdr:to>
    <xdr:sp macro="" textlink="">
      <xdr:nvSpPr>
        <xdr:cNvPr id="11" name="Retângulo: Cantos Superiore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467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 editAs="absolute">
    <xdr:from>
      <xdr:col>2</xdr:col>
      <xdr:colOff>428624</xdr:colOff>
      <xdr:row>2</xdr:row>
      <xdr:rowOff>28575</xdr:rowOff>
    </xdr:from>
    <xdr:to>
      <xdr:col>2</xdr:col>
      <xdr:colOff>1123949</xdr:colOff>
      <xdr:row>2</xdr:row>
      <xdr:rowOff>352425</xdr:rowOff>
    </xdr:to>
    <xdr:sp macro="" textlink="">
      <xdr:nvSpPr>
        <xdr:cNvPr id="10" name="Retângulo: Cantos Superiore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52524" y="704850"/>
          <a:ext cx="695325" cy="323850"/>
        </a:xfrm>
        <a:prstGeom prst="round2SameRect">
          <a:avLst>
            <a:gd name="adj1" fmla="val 32353"/>
            <a:gd name="adj2" fmla="val 32353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Tabelas</a:t>
          </a:r>
        </a:p>
      </xdr:txBody>
    </xdr:sp>
    <xdr:clientData/>
  </xdr:twoCellAnchor>
  <xdr:twoCellAnchor editAs="absolute">
    <xdr:from>
      <xdr:col>1</xdr:col>
      <xdr:colOff>0</xdr:colOff>
      <xdr:row>2</xdr:row>
      <xdr:rowOff>31750</xdr:rowOff>
    </xdr:from>
    <xdr:to>
      <xdr:col>2</xdr:col>
      <xdr:colOff>22450</xdr:colOff>
      <xdr:row>2</xdr:row>
      <xdr:rowOff>355600</xdr:rowOff>
    </xdr:to>
    <xdr:sp macro="" textlink="">
      <xdr:nvSpPr>
        <xdr:cNvPr id="8" name="Retângulo: Cantos Superiores Arredondados 7">
          <a:extLst>
            <a:ext uri="{FF2B5EF4-FFF2-40B4-BE49-F238E27FC236}">
              <a16:creationId xmlns:a16="http://schemas.microsoft.com/office/drawing/2014/main" id="{048A185D-07CC-4E8D-B525-C649671F8CA8}"/>
            </a:ext>
          </a:extLst>
        </xdr:cNvPr>
        <xdr:cNvSpPr/>
      </xdr:nvSpPr>
      <xdr:spPr>
        <a:xfrm>
          <a:off x="260350" y="730250"/>
          <a:ext cx="524100" cy="323850"/>
        </a:xfrm>
        <a:prstGeom prst="round2SameRect">
          <a:avLst>
            <a:gd name="adj1" fmla="val 32353"/>
            <a:gd name="adj2" fmla="val 32353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1343025</xdr:colOff>
      <xdr:row>0</xdr:row>
      <xdr:rowOff>171450</xdr:rowOff>
    </xdr:from>
    <xdr:to>
      <xdr:col>2</xdr:col>
      <xdr:colOff>2343150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2</xdr:col>
      <xdr:colOff>2419350</xdr:colOff>
      <xdr:row>0</xdr:row>
      <xdr:rowOff>171450</xdr:rowOff>
    </xdr:from>
    <xdr:to>
      <xdr:col>2</xdr:col>
      <xdr:colOff>3419475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3495675</xdr:colOff>
      <xdr:row>0</xdr:row>
      <xdr:rowOff>171450</xdr:rowOff>
    </xdr:from>
    <xdr:to>
      <xdr:col>4</xdr:col>
      <xdr:colOff>231775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4</xdr:col>
      <xdr:colOff>307975</xdr:colOff>
      <xdr:row>0</xdr:row>
      <xdr:rowOff>171450</xdr:rowOff>
    </xdr:from>
    <xdr:to>
      <xdr:col>5</xdr:col>
      <xdr:colOff>485775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5</xdr:col>
      <xdr:colOff>571500</xdr:colOff>
      <xdr:row>0</xdr:row>
      <xdr:rowOff>171450</xdr:rowOff>
    </xdr:from>
    <xdr:to>
      <xdr:col>6</xdr:col>
      <xdr:colOff>796925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266700</xdr:colOff>
      <xdr:row>0</xdr:row>
      <xdr:rowOff>171450</xdr:rowOff>
    </xdr:from>
    <xdr:to>
      <xdr:col>2</xdr:col>
      <xdr:colOff>1266825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absolute">
    <xdr:from>
      <xdr:col>2</xdr:col>
      <xdr:colOff>447676</xdr:colOff>
      <xdr:row>1</xdr:row>
      <xdr:rowOff>123825</xdr:rowOff>
    </xdr:from>
    <xdr:to>
      <xdr:col>2</xdr:col>
      <xdr:colOff>1136650</xdr:colOff>
      <xdr:row>2</xdr:row>
      <xdr:rowOff>266700</xdr:rowOff>
    </xdr:to>
    <xdr:sp macro="" textlink="">
      <xdr:nvSpPr>
        <xdr:cNvPr id="8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09676" y="619125"/>
          <a:ext cx="688974" cy="346075"/>
        </a:xfrm>
        <a:prstGeom prst="round2SameRect">
          <a:avLst>
            <a:gd name="adj1" fmla="val 32353"/>
            <a:gd name="adj2" fmla="val 32353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1</a:t>
          </a:r>
          <a:r>
            <a:rPr lang="pt-BR" sz="1100"/>
            <a:t>°</a:t>
          </a:r>
          <a:r>
            <a:rPr lang="pt-BR" sz="1000" baseline="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 Trim</a:t>
          </a:r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1158876</xdr:colOff>
      <xdr:row>1</xdr:row>
      <xdr:rowOff>123825</xdr:rowOff>
    </xdr:from>
    <xdr:to>
      <xdr:col>2</xdr:col>
      <xdr:colOff>1854200</xdr:colOff>
      <xdr:row>2</xdr:row>
      <xdr:rowOff>266700</xdr:rowOff>
    </xdr:to>
    <xdr:sp macro="" textlink="">
      <xdr:nvSpPr>
        <xdr:cNvPr id="9" name="Retângulo: Cantos Superiore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920876" y="619125"/>
          <a:ext cx="695324" cy="346075"/>
        </a:xfrm>
        <a:prstGeom prst="round2SameRect">
          <a:avLst>
            <a:gd name="adj1" fmla="val 32353"/>
            <a:gd name="adj2" fmla="val 3235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2</a:t>
          </a:r>
          <a:r>
            <a:rPr lang="pt-BR" sz="1100"/>
            <a:t>° Trim</a:t>
          </a:r>
          <a:endParaRPr lang="pt-BR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1879600</xdr:colOff>
      <xdr:row>1</xdr:row>
      <xdr:rowOff>130175</xdr:rowOff>
    </xdr:from>
    <xdr:to>
      <xdr:col>2</xdr:col>
      <xdr:colOff>2571750</xdr:colOff>
      <xdr:row>2</xdr:row>
      <xdr:rowOff>273050</xdr:rowOff>
    </xdr:to>
    <xdr:sp macro="" textlink="">
      <xdr:nvSpPr>
        <xdr:cNvPr id="10" name="Retângulo: Cantos Superiore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41600" y="625475"/>
          <a:ext cx="692150" cy="346075"/>
        </a:xfrm>
        <a:prstGeom prst="round2SameRect">
          <a:avLst>
            <a:gd name="adj1" fmla="val 32353"/>
            <a:gd name="adj2" fmla="val 3235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3</a:t>
          </a:r>
          <a:r>
            <a:rPr lang="pt-BR" sz="1100"/>
            <a:t>° Trim</a:t>
          </a:r>
          <a:endParaRPr lang="pt-BR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2593976</xdr:colOff>
      <xdr:row>1</xdr:row>
      <xdr:rowOff>130175</xdr:rowOff>
    </xdr:from>
    <xdr:to>
      <xdr:col>2</xdr:col>
      <xdr:colOff>3295650</xdr:colOff>
      <xdr:row>2</xdr:row>
      <xdr:rowOff>273050</xdr:rowOff>
    </xdr:to>
    <xdr:sp macro="" textlink="">
      <xdr:nvSpPr>
        <xdr:cNvPr id="11" name="Retângulo: Cantos Superiore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55976" y="625475"/>
          <a:ext cx="701674" cy="346075"/>
        </a:xfrm>
        <a:prstGeom prst="round2SameRect">
          <a:avLst>
            <a:gd name="adj1" fmla="val 32353"/>
            <a:gd name="adj2" fmla="val 3235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4</a:t>
          </a:r>
          <a:r>
            <a:rPr lang="pt-BR" sz="1100"/>
            <a:t>° Trim</a:t>
          </a:r>
          <a:endParaRPr lang="pt-BR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21" name="Imagem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7</xdr:col>
      <xdr:colOff>50800</xdr:colOff>
      <xdr:row>0</xdr:row>
      <xdr:rowOff>171450</xdr:rowOff>
    </xdr:from>
    <xdr:to>
      <xdr:col>8</xdr:col>
      <xdr:colOff>266700</xdr:colOff>
      <xdr:row>1</xdr:row>
      <xdr:rowOff>0</xdr:rowOff>
    </xdr:to>
    <xdr:sp macro="" textlink="">
      <xdr:nvSpPr>
        <xdr:cNvPr id="22" name="Retângulo: Cantos Superiores Arredondados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7467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 editAs="absolute">
    <xdr:from>
      <xdr:col>0</xdr:col>
      <xdr:colOff>238125</xdr:colOff>
      <xdr:row>2</xdr:row>
      <xdr:rowOff>34925</xdr:rowOff>
    </xdr:from>
    <xdr:to>
      <xdr:col>2</xdr:col>
      <xdr:colOff>225</xdr:colOff>
      <xdr:row>2</xdr:row>
      <xdr:rowOff>358775</xdr:rowOff>
    </xdr:to>
    <xdr:sp macro="" textlink="">
      <xdr:nvSpPr>
        <xdr:cNvPr id="23" name="Retângulo: Cantos Superiores Arredondado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38125" y="711200"/>
          <a:ext cx="486000" cy="323850"/>
        </a:xfrm>
        <a:prstGeom prst="round2SameRect">
          <a:avLst>
            <a:gd name="adj1" fmla="val 32353"/>
            <a:gd name="adj2" fmla="val 32353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1343025</xdr:colOff>
      <xdr:row>0</xdr:row>
      <xdr:rowOff>171450</xdr:rowOff>
    </xdr:from>
    <xdr:to>
      <xdr:col>2</xdr:col>
      <xdr:colOff>2343150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B6739-DA79-49A8-A903-3B6ED02ABC17}"/>
            </a:ext>
          </a:extLst>
        </xdr:cNvPr>
        <xdr:cNvSpPr/>
      </xdr:nvSpPr>
      <xdr:spPr>
        <a:xfrm>
          <a:off x="21050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2</xdr:col>
      <xdr:colOff>2419350</xdr:colOff>
      <xdr:row>0</xdr:row>
      <xdr:rowOff>171450</xdr:rowOff>
    </xdr:from>
    <xdr:to>
      <xdr:col>2</xdr:col>
      <xdr:colOff>3419475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7DC623-3A98-4665-8569-23027A4DC585}"/>
            </a:ext>
          </a:extLst>
        </xdr:cNvPr>
        <xdr:cNvSpPr/>
      </xdr:nvSpPr>
      <xdr:spPr>
        <a:xfrm>
          <a:off x="318135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3495675</xdr:colOff>
      <xdr:row>0</xdr:row>
      <xdr:rowOff>171450</xdr:rowOff>
    </xdr:from>
    <xdr:to>
      <xdr:col>4</xdr:col>
      <xdr:colOff>231775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BFCEE-3FC3-4445-8841-202BF23B002A}"/>
            </a:ext>
          </a:extLst>
        </xdr:cNvPr>
        <xdr:cNvSpPr/>
      </xdr:nvSpPr>
      <xdr:spPr>
        <a:xfrm>
          <a:off x="4257675" y="171450"/>
          <a:ext cx="119380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4</xdr:col>
      <xdr:colOff>307975</xdr:colOff>
      <xdr:row>0</xdr:row>
      <xdr:rowOff>171450</xdr:rowOff>
    </xdr:from>
    <xdr:to>
      <xdr:col>5</xdr:col>
      <xdr:colOff>485775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0D3439-A1B9-4C94-8D3A-4010C9F4A890}"/>
            </a:ext>
          </a:extLst>
        </xdr:cNvPr>
        <xdr:cNvSpPr/>
      </xdr:nvSpPr>
      <xdr:spPr>
        <a:xfrm>
          <a:off x="5527675" y="171450"/>
          <a:ext cx="106680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5</xdr:col>
      <xdr:colOff>571500</xdr:colOff>
      <xdr:row>0</xdr:row>
      <xdr:rowOff>171450</xdr:rowOff>
    </xdr:from>
    <xdr:to>
      <xdr:col>6</xdr:col>
      <xdr:colOff>796925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404316-D8AB-404B-9E31-F50030AF2F6D}"/>
            </a:ext>
          </a:extLst>
        </xdr:cNvPr>
        <xdr:cNvSpPr/>
      </xdr:nvSpPr>
      <xdr:spPr>
        <a:xfrm>
          <a:off x="6680200" y="171450"/>
          <a:ext cx="105727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266700</xdr:colOff>
      <xdr:row>0</xdr:row>
      <xdr:rowOff>171450</xdr:rowOff>
    </xdr:from>
    <xdr:to>
      <xdr:col>2</xdr:col>
      <xdr:colOff>1266825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916CD0F-6520-4929-873C-86B0C9B52C71}"/>
            </a:ext>
          </a:extLst>
        </xdr:cNvPr>
        <xdr:cNvSpPr/>
      </xdr:nvSpPr>
      <xdr:spPr>
        <a:xfrm>
          <a:off x="10287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absolute">
    <xdr:from>
      <xdr:col>2</xdr:col>
      <xdr:colOff>447676</xdr:colOff>
      <xdr:row>1</xdr:row>
      <xdr:rowOff>123825</xdr:rowOff>
    </xdr:from>
    <xdr:to>
      <xdr:col>2</xdr:col>
      <xdr:colOff>1136650</xdr:colOff>
      <xdr:row>2</xdr:row>
      <xdr:rowOff>266700</xdr:rowOff>
    </xdr:to>
    <xdr:sp macro="" textlink="">
      <xdr:nvSpPr>
        <xdr:cNvPr id="8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3DC4A2-E5EC-4ECD-91D1-EBAF1E51E676}"/>
            </a:ext>
          </a:extLst>
        </xdr:cNvPr>
        <xdr:cNvSpPr/>
      </xdr:nvSpPr>
      <xdr:spPr>
        <a:xfrm>
          <a:off x="1209676" y="619125"/>
          <a:ext cx="688974" cy="346075"/>
        </a:xfrm>
        <a:prstGeom prst="round2SameRect">
          <a:avLst>
            <a:gd name="adj1" fmla="val 32353"/>
            <a:gd name="adj2" fmla="val 32353"/>
          </a:avLst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1</a:t>
          </a:r>
          <a:r>
            <a:rPr lang="pt-BR" sz="1100">
              <a:solidFill>
                <a:schemeClr val="bg1"/>
              </a:solidFill>
            </a:rPr>
            <a:t>°</a:t>
          </a:r>
          <a:r>
            <a:rPr lang="pt-BR" sz="10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Trim</a:t>
          </a:r>
          <a:endParaRPr lang="pt-BR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1158876</xdr:colOff>
      <xdr:row>1</xdr:row>
      <xdr:rowOff>123825</xdr:rowOff>
    </xdr:from>
    <xdr:to>
      <xdr:col>2</xdr:col>
      <xdr:colOff>1854200</xdr:colOff>
      <xdr:row>2</xdr:row>
      <xdr:rowOff>266700</xdr:rowOff>
    </xdr:to>
    <xdr:sp macro="" textlink="">
      <xdr:nvSpPr>
        <xdr:cNvPr id="9" name="Retângulo: Cantos Superiore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8A07515-656C-4934-B9C4-74B60628191C}"/>
            </a:ext>
          </a:extLst>
        </xdr:cNvPr>
        <xdr:cNvSpPr/>
      </xdr:nvSpPr>
      <xdr:spPr>
        <a:xfrm>
          <a:off x="1920876" y="619125"/>
          <a:ext cx="695324" cy="346075"/>
        </a:xfrm>
        <a:prstGeom prst="round2SameRect">
          <a:avLst>
            <a:gd name="adj1" fmla="val 32353"/>
            <a:gd name="adj2" fmla="val 32353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2</a:t>
          </a:r>
          <a:r>
            <a:rPr lang="pt-BR" sz="1100">
              <a:solidFill>
                <a:schemeClr val="accent1"/>
              </a:solidFill>
            </a:rPr>
            <a:t>° Trim</a:t>
          </a:r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1879600</xdr:colOff>
      <xdr:row>1</xdr:row>
      <xdr:rowOff>130175</xdr:rowOff>
    </xdr:from>
    <xdr:to>
      <xdr:col>2</xdr:col>
      <xdr:colOff>2571750</xdr:colOff>
      <xdr:row>2</xdr:row>
      <xdr:rowOff>273050</xdr:rowOff>
    </xdr:to>
    <xdr:sp macro="" textlink="">
      <xdr:nvSpPr>
        <xdr:cNvPr id="10" name="Retângulo: Cantos Superiore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35D9DCE-EB5D-4D56-AC90-2F32F9B95919}"/>
            </a:ext>
          </a:extLst>
        </xdr:cNvPr>
        <xdr:cNvSpPr/>
      </xdr:nvSpPr>
      <xdr:spPr>
        <a:xfrm>
          <a:off x="2641600" y="625475"/>
          <a:ext cx="692150" cy="346075"/>
        </a:xfrm>
        <a:prstGeom prst="round2SameRect">
          <a:avLst>
            <a:gd name="adj1" fmla="val 32353"/>
            <a:gd name="adj2" fmla="val 3235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3</a:t>
          </a:r>
          <a:r>
            <a:rPr lang="pt-BR" sz="1100"/>
            <a:t>° Trim</a:t>
          </a:r>
          <a:endParaRPr lang="pt-BR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2593976</xdr:colOff>
      <xdr:row>1</xdr:row>
      <xdr:rowOff>130175</xdr:rowOff>
    </xdr:from>
    <xdr:to>
      <xdr:col>2</xdr:col>
      <xdr:colOff>3295650</xdr:colOff>
      <xdr:row>2</xdr:row>
      <xdr:rowOff>273050</xdr:rowOff>
    </xdr:to>
    <xdr:sp macro="" textlink="">
      <xdr:nvSpPr>
        <xdr:cNvPr id="11" name="Retângulo: Cantos Superiore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4CF5025-F0B3-416D-A334-5F7E1809513E}"/>
            </a:ext>
          </a:extLst>
        </xdr:cNvPr>
        <xdr:cNvSpPr/>
      </xdr:nvSpPr>
      <xdr:spPr>
        <a:xfrm>
          <a:off x="3355976" y="625475"/>
          <a:ext cx="701674" cy="346075"/>
        </a:xfrm>
        <a:prstGeom prst="round2SameRect">
          <a:avLst>
            <a:gd name="adj1" fmla="val 32353"/>
            <a:gd name="adj2" fmla="val 3235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4</a:t>
          </a:r>
          <a:r>
            <a:rPr lang="pt-BR" sz="1100"/>
            <a:t>° Trim</a:t>
          </a:r>
          <a:endParaRPr lang="pt-BR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12" name="Imagem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5C80E4-43AC-4C50-B325-210DACF6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495184"/>
        </a:xfrm>
        <a:prstGeom prst="rect">
          <a:avLst/>
        </a:prstGeom>
      </xdr:spPr>
    </xdr:pic>
    <xdr:clientData/>
  </xdr:twoCellAnchor>
  <xdr:twoCellAnchor editAs="absolute">
    <xdr:from>
      <xdr:col>7</xdr:col>
      <xdr:colOff>50800</xdr:colOff>
      <xdr:row>0</xdr:row>
      <xdr:rowOff>171450</xdr:rowOff>
    </xdr:from>
    <xdr:to>
      <xdr:col>8</xdr:col>
      <xdr:colOff>266700</xdr:colOff>
      <xdr:row>1</xdr:row>
      <xdr:rowOff>0</xdr:rowOff>
    </xdr:to>
    <xdr:sp macro="" textlink="">
      <xdr:nvSpPr>
        <xdr:cNvPr id="13" name="Retângulo: Cantos Superiore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A8BD83-2B95-4A48-8F01-8F07D4B7E456}"/>
            </a:ext>
          </a:extLst>
        </xdr:cNvPr>
        <xdr:cNvSpPr/>
      </xdr:nvSpPr>
      <xdr:spPr>
        <a:xfrm>
          <a:off x="7823200" y="171450"/>
          <a:ext cx="104775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 editAs="absolute">
    <xdr:from>
      <xdr:col>0</xdr:col>
      <xdr:colOff>238125</xdr:colOff>
      <xdr:row>2</xdr:row>
      <xdr:rowOff>34925</xdr:rowOff>
    </xdr:from>
    <xdr:to>
      <xdr:col>2</xdr:col>
      <xdr:colOff>225</xdr:colOff>
      <xdr:row>2</xdr:row>
      <xdr:rowOff>358775</xdr:rowOff>
    </xdr:to>
    <xdr:sp macro="" textlink="">
      <xdr:nvSpPr>
        <xdr:cNvPr id="14" name="Retângulo: Cantos Superiores Arredondados 13">
          <a:extLst>
            <a:ext uri="{FF2B5EF4-FFF2-40B4-BE49-F238E27FC236}">
              <a16:creationId xmlns:a16="http://schemas.microsoft.com/office/drawing/2014/main" id="{9192B969-439A-4649-9D19-150B3CF854F6}"/>
            </a:ext>
          </a:extLst>
        </xdr:cNvPr>
        <xdr:cNvSpPr/>
      </xdr:nvSpPr>
      <xdr:spPr>
        <a:xfrm>
          <a:off x="238125" y="733425"/>
          <a:ext cx="524100" cy="323850"/>
        </a:xfrm>
        <a:prstGeom prst="round2SameRect">
          <a:avLst>
            <a:gd name="adj1" fmla="val 32353"/>
            <a:gd name="adj2" fmla="val 32353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1343025</xdr:colOff>
      <xdr:row>0</xdr:row>
      <xdr:rowOff>171450</xdr:rowOff>
    </xdr:from>
    <xdr:to>
      <xdr:col>2</xdr:col>
      <xdr:colOff>2343150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B4667-6C90-4235-9E21-5F6EFAC6750D}"/>
            </a:ext>
          </a:extLst>
        </xdr:cNvPr>
        <xdr:cNvSpPr/>
      </xdr:nvSpPr>
      <xdr:spPr>
        <a:xfrm>
          <a:off x="21050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2</xdr:col>
      <xdr:colOff>2419350</xdr:colOff>
      <xdr:row>0</xdr:row>
      <xdr:rowOff>171450</xdr:rowOff>
    </xdr:from>
    <xdr:to>
      <xdr:col>2</xdr:col>
      <xdr:colOff>3419475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CCA915-7AD3-4833-8F41-1BDF79EA3405}"/>
            </a:ext>
          </a:extLst>
        </xdr:cNvPr>
        <xdr:cNvSpPr/>
      </xdr:nvSpPr>
      <xdr:spPr>
        <a:xfrm>
          <a:off x="318135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3495675</xdr:colOff>
      <xdr:row>0</xdr:row>
      <xdr:rowOff>171450</xdr:rowOff>
    </xdr:from>
    <xdr:to>
      <xdr:col>4</xdr:col>
      <xdr:colOff>231775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CAD800-88FE-4DA2-B208-48C13894349A}"/>
            </a:ext>
          </a:extLst>
        </xdr:cNvPr>
        <xdr:cNvSpPr/>
      </xdr:nvSpPr>
      <xdr:spPr>
        <a:xfrm>
          <a:off x="4257675" y="171450"/>
          <a:ext cx="119380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4</xdr:col>
      <xdr:colOff>307975</xdr:colOff>
      <xdr:row>0</xdr:row>
      <xdr:rowOff>171450</xdr:rowOff>
    </xdr:from>
    <xdr:to>
      <xdr:col>5</xdr:col>
      <xdr:colOff>485775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78D4FA-603A-440B-BD3F-982A911097F8}"/>
            </a:ext>
          </a:extLst>
        </xdr:cNvPr>
        <xdr:cNvSpPr/>
      </xdr:nvSpPr>
      <xdr:spPr>
        <a:xfrm>
          <a:off x="5527675" y="171450"/>
          <a:ext cx="106680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5</xdr:col>
      <xdr:colOff>571500</xdr:colOff>
      <xdr:row>0</xdr:row>
      <xdr:rowOff>171450</xdr:rowOff>
    </xdr:from>
    <xdr:to>
      <xdr:col>6</xdr:col>
      <xdr:colOff>796925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74CADA-C888-4339-ACF8-80D6173D11B7}"/>
            </a:ext>
          </a:extLst>
        </xdr:cNvPr>
        <xdr:cNvSpPr/>
      </xdr:nvSpPr>
      <xdr:spPr>
        <a:xfrm>
          <a:off x="6680200" y="171450"/>
          <a:ext cx="105727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266700</xdr:colOff>
      <xdr:row>0</xdr:row>
      <xdr:rowOff>171450</xdr:rowOff>
    </xdr:from>
    <xdr:to>
      <xdr:col>2</xdr:col>
      <xdr:colOff>1266825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E0AD40-8D53-42FB-9005-16C07219CCCF}"/>
            </a:ext>
          </a:extLst>
        </xdr:cNvPr>
        <xdr:cNvSpPr/>
      </xdr:nvSpPr>
      <xdr:spPr>
        <a:xfrm>
          <a:off x="10287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absolute">
    <xdr:from>
      <xdr:col>2</xdr:col>
      <xdr:colOff>447676</xdr:colOff>
      <xdr:row>1</xdr:row>
      <xdr:rowOff>123825</xdr:rowOff>
    </xdr:from>
    <xdr:to>
      <xdr:col>2</xdr:col>
      <xdr:colOff>1136650</xdr:colOff>
      <xdr:row>2</xdr:row>
      <xdr:rowOff>266700</xdr:rowOff>
    </xdr:to>
    <xdr:sp macro="" textlink="">
      <xdr:nvSpPr>
        <xdr:cNvPr id="8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9EEC4-ABE4-4A03-BF43-6D32E2B0AABE}"/>
            </a:ext>
          </a:extLst>
        </xdr:cNvPr>
        <xdr:cNvSpPr/>
      </xdr:nvSpPr>
      <xdr:spPr>
        <a:xfrm>
          <a:off x="1209676" y="619125"/>
          <a:ext cx="688974" cy="346075"/>
        </a:xfrm>
        <a:prstGeom prst="round2SameRect">
          <a:avLst>
            <a:gd name="adj1" fmla="val 32353"/>
            <a:gd name="adj2" fmla="val 32353"/>
          </a:avLst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1</a:t>
          </a:r>
          <a:r>
            <a:rPr lang="pt-BR" sz="1100">
              <a:solidFill>
                <a:schemeClr val="bg1"/>
              </a:solidFill>
            </a:rPr>
            <a:t>°</a:t>
          </a:r>
          <a:r>
            <a:rPr lang="pt-BR" sz="10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Trim</a:t>
          </a:r>
          <a:endParaRPr lang="pt-BR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1158876</xdr:colOff>
      <xdr:row>1</xdr:row>
      <xdr:rowOff>123825</xdr:rowOff>
    </xdr:from>
    <xdr:to>
      <xdr:col>2</xdr:col>
      <xdr:colOff>1854200</xdr:colOff>
      <xdr:row>2</xdr:row>
      <xdr:rowOff>266700</xdr:rowOff>
    </xdr:to>
    <xdr:sp macro="" textlink="">
      <xdr:nvSpPr>
        <xdr:cNvPr id="9" name="Retângulo: Cantos Superiore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CC32311-3FDA-4F4F-8F09-81CE9A187199}"/>
            </a:ext>
          </a:extLst>
        </xdr:cNvPr>
        <xdr:cNvSpPr/>
      </xdr:nvSpPr>
      <xdr:spPr>
        <a:xfrm>
          <a:off x="1920876" y="619125"/>
          <a:ext cx="695324" cy="346075"/>
        </a:xfrm>
        <a:prstGeom prst="round2SameRect">
          <a:avLst>
            <a:gd name="adj1" fmla="val 32353"/>
            <a:gd name="adj2" fmla="val 32353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2</a:t>
          </a:r>
          <a:r>
            <a:rPr lang="pt-BR" sz="1100">
              <a:solidFill>
                <a:schemeClr val="bg1"/>
              </a:solidFill>
            </a:rPr>
            <a:t>° Trim</a:t>
          </a:r>
          <a:endParaRPr lang="pt-BR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1879600</xdr:colOff>
      <xdr:row>1</xdr:row>
      <xdr:rowOff>130175</xdr:rowOff>
    </xdr:from>
    <xdr:to>
      <xdr:col>2</xdr:col>
      <xdr:colOff>2571750</xdr:colOff>
      <xdr:row>2</xdr:row>
      <xdr:rowOff>273050</xdr:rowOff>
    </xdr:to>
    <xdr:sp macro="" textlink="">
      <xdr:nvSpPr>
        <xdr:cNvPr id="10" name="Retângulo: Cantos Superiore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30C90D2-3D9A-4891-8A7A-65C7A776099F}"/>
            </a:ext>
          </a:extLst>
        </xdr:cNvPr>
        <xdr:cNvSpPr/>
      </xdr:nvSpPr>
      <xdr:spPr>
        <a:xfrm>
          <a:off x="2641600" y="625475"/>
          <a:ext cx="692150" cy="346075"/>
        </a:xfrm>
        <a:prstGeom prst="round2SameRect">
          <a:avLst>
            <a:gd name="adj1" fmla="val 32353"/>
            <a:gd name="adj2" fmla="val 32353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3</a:t>
          </a:r>
          <a:r>
            <a:rPr lang="pt-BR" sz="1100">
              <a:solidFill>
                <a:schemeClr val="accent1"/>
              </a:solidFill>
            </a:rPr>
            <a:t>° Trim</a:t>
          </a:r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2593976</xdr:colOff>
      <xdr:row>1</xdr:row>
      <xdr:rowOff>130175</xdr:rowOff>
    </xdr:from>
    <xdr:to>
      <xdr:col>2</xdr:col>
      <xdr:colOff>3295650</xdr:colOff>
      <xdr:row>2</xdr:row>
      <xdr:rowOff>273050</xdr:rowOff>
    </xdr:to>
    <xdr:sp macro="" textlink="">
      <xdr:nvSpPr>
        <xdr:cNvPr id="11" name="Retângulo: Cantos Superiore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01073EA-4ECA-45E8-972A-96C953619FB2}"/>
            </a:ext>
          </a:extLst>
        </xdr:cNvPr>
        <xdr:cNvSpPr/>
      </xdr:nvSpPr>
      <xdr:spPr>
        <a:xfrm>
          <a:off x="3355976" y="625475"/>
          <a:ext cx="701674" cy="346075"/>
        </a:xfrm>
        <a:prstGeom prst="round2SameRect">
          <a:avLst>
            <a:gd name="adj1" fmla="val 32353"/>
            <a:gd name="adj2" fmla="val 3235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4</a:t>
          </a:r>
          <a:r>
            <a:rPr lang="pt-BR" sz="1100"/>
            <a:t>° Trim</a:t>
          </a:r>
          <a:endParaRPr lang="pt-BR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12" name="Imagem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130A5AD-E58A-4C08-A530-4A2A4521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495184"/>
        </a:xfrm>
        <a:prstGeom prst="rect">
          <a:avLst/>
        </a:prstGeom>
      </xdr:spPr>
    </xdr:pic>
    <xdr:clientData/>
  </xdr:twoCellAnchor>
  <xdr:twoCellAnchor editAs="absolute">
    <xdr:from>
      <xdr:col>7</xdr:col>
      <xdr:colOff>50800</xdr:colOff>
      <xdr:row>0</xdr:row>
      <xdr:rowOff>171450</xdr:rowOff>
    </xdr:from>
    <xdr:to>
      <xdr:col>8</xdr:col>
      <xdr:colOff>266700</xdr:colOff>
      <xdr:row>1</xdr:row>
      <xdr:rowOff>0</xdr:rowOff>
    </xdr:to>
    <xdr:sp macro="" textlink="">
      <xdr:nvSpPr>
        <xdr:cNvPr id="13" name="Retângulo: Cantos Superiore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20D22A6-AA76-421C-93B6-D0D1B5926A57}"/>
            </a:ext>
          </a:extLst>
        </xdr:cNvPr>
        <xdr:cNvSpPr/>
      </xdr:nvSpPr>
      <xdr:spPr>
        <a:xfrm>
          <a:off x="7823200" y="171450"/>
          <a:ext cx="104775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 editAs="absolute">
    <xdr:from>
      <xdr:col>0</xdr:col>
      <xdr:colOff>238125</xdr:colOff>
      <xdr:row>2</xdr:row>
      <xdr:rowOff>34925</xdr:rowOff>
    </xdr:from>
    <xdr:to>
      <xdr:col>2</xdr:col>
      <xdr:colOff>225</xdr:colOff>
      <xdr:row>2</xdr:row>
      <xdr:rowOff>358775</xdr:rowOff>
    </xdr:to>
    <xdr:sp macro="" textlink="">
      <xdr:nvSpPr>
        <xdr:cNvPr id="14" name="Retângulo: Cantos Superiores Arredondados 13">
          <a:extLst>
            <a:ext uri="{FF2B5EF4-FFF2-40B4-BE49-F238E27FC236}">
              <a16:creationId xmlns:a16="http://schemas.microsoft.com/office/drawing/2014/main" id="{178C66F0-8D12-4C8A-8403-F6E909ADD1B8}"/>
            </a:ext>
          </a:extLst>
        </xdr:cNvPr>
        <xdr:cNvSpPr/>
      </xdr:nvSpPr>
      <xdr:spPr>
        <a:xfrm>
          <a:off x="238125" y="733425"/>
          <a:ext cx="524100" cy="323850"/>
        </a:xfrm>
        <a:prstGeom prst="round2SameRect">
          <a:avLst>
            <a:gd name="adj1" fmla="val 32353"/>
            <a:gd name="adj2" fmla="val 32353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1343025</xdr:colOff>
      <xdr:row>0</xdr:row>
      <xdr:rowOff>171450</xdr:rowOff>
    </xdr:from>
    <xdr:to>
      <xdr:col>2</xdr:col>
      <xdr:colOff>2343150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6CC2C9-4436-496A-B23E-26B708618356}"/>
            </a:ext>
          </a:extLst>
        </xdr:cNvPr>
        <xdr:cNvSpPr/>
      </xdr:nvSpPr>
      <xdr:spPr>
        <a:xfrm>
          <a:off x="21050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2</xdr:col>
      <xdr:colOff>2419350</xdr:colOff>
      <xdr:row>0</xdr:row>
      <xdr:rowOff>171450</xdr:rowOff>
    </xdr:from>
    <xdr:to>
      <xdr:col>2</xdr:col>
      <xdr:colOff>3419475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79A378-69D5-4E79-AF7B-56F9C820AF49}"/>
            </a:ext>
          </a:extLst>
        </xdr:cNvPr>
        <xdr:cNvSpPr/>
      </xdr:nvSpPr>
      <xdr:spPr>
        <a:xfrm>
          <a:off x="318135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3495675</xdr:colOff>
      <xdr:row>0</xdr:row>
      <xdr:rowOff>171450</xdr:rowOff>
    </xdr:from>
    <xdr:to>
      <xdr:col>4</xdr:col>
      <xdr:colOff>231775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D2106D-0C75-4BF5-A01B-48BD9DF4B915}"/>
            </a:ext>
          </a:extLst>
        </xdr:cNvPr>
        <xdr:cNvSpPr/>
      </xdr:nvSpPr>
      <xdr:spPr>
        <a:xfrm>
          <a:off x="4257675" y="171450"/>
          <a:ext cx="119380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4</xdr:col>
      <xdr:colOff>307975</xdr:colOff>
      <xdr:row>0</xdr:row>
      <xdr:rowOff>171450</xdr:rowOff>
    </xdr:from>
    <xdr:to>
      <xdr:col>5</xdr:col>
      <xdr:colOff>485775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F4C628-AF15-4D96-B347-6604204AF2B3}"/>
            </a:ext>
          </a:extLst>
        </xdr:cNvPr>
        <xdr:cNvSpPr/>
      </xdr:nvSpPr>
      <xdr:spPr>
        <a:xfrm>
          <a:off x="5527675" y="171450"/>
          <a:ext cx="106680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5</xdr:col>
      <xdr:colOff>571500</xdr:colOff>
      <xdr:row>0</xdr:row>
      <xdr:rowOff>171450</xdr:rowOff>
    </xdr:from>
    <xdr:to>
      <xdr:col>6</xdr:col>
      <xdr:colOff>796925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16CBCC-1F9E-4AFE-9D62-B53E744D92F5}"/>
            </a:ext>
          </a:extLst>
        </xdr:cNvPr>
        <xdr:cNvSpPr/>
      </xdr:nvSpPr>
      <xdr:spPr>
        <a:xfrm>
          <a:off x="6680200" y="171450"/>
          <a:ext cx="105727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266700</xdr:colOff>
      <xdr:row>0</xdr:row>
      <xdr:rowOff>171450</xdr:rowOff>
    </xdr:from>
    <xdr:to>
      <xdr:col>2</xdr:col>
      <xdr:colOff>1266825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E4BF76-1C90-42EB-9F64-A19EE11C272E}"/>
            </a:ext>
          </a:extLst>
        </xdr:cNvPr>
        <xdr:cNvSpPr/>
      </xdr:nvSpPr>
      <xdr:spPr>
        <a:xfrm>
          <a:off x="10287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absolute">
    <xdr:from>
      <xdr:col>2</xdr:col>
      <xdr:colOff>447676</xdr:colOff>
      <xdr:row>1</xdr:row>
      <xdr:rowOff>123825</xdr:rowOff>
    </xdr:from>
    <xdr:to>
      <xdr:col>2</xdr:col>
      <xdr:colOff>1136650</xdr:colOff>
      <xdr:row>2</xdr:row>
      <xdr:rowOff>266700</xdr:rowOff>
    </xdr:to>
    <xdr:sp macro="" textlink="">
      <xdr:nvSpPr>
        <xdr:cNvPr id="8" name="Retângulo: Cantos Superiore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8CB56F-0883-43C1-923D-F89809E2BAD8}"/>
            </a:ext>
          </a:extLst>
        </xdr:cNvPr>
        <xdr:cNvSpPr/>
      </xdr:nvSpPr>
      <xdr:spPr>
        <a:xfrm>
          <a:off x="1209676" y="619125"/>
          <a:ext cx="688974" cy="346075"/>
        </a:xfrm>
        <a:prstGeom prst="round2SameRect">
          <a:avLst>
            <a:gd name="adj1" fmla="val 32353"/>
            <a:gd name="adj2" fmla="val 32353"/>
          </a:avLst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1</a:t>
          </a:r>
          <a:r>
            <a:rPr lang="pt-BR" sz="1100">
              <a:solidFill>
                <a:schemeClr val="bg1"/>
              </a:solidFill>
            </a:rPr>
            <a:t>°</a:t>
          </a:r>
          <a:r>
            <a:rPr lang="pt-BR" sz="10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Trim</a:t>
          </a:r>
          <a:endParaRPr lang="pt-BR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1158876</xdr:colOff>
      <xdr:row>1</xdr:row>
      <xdr:rowOff>123825</xdr:rowOff>
    </xdr:from>
    <xdr:to>
      <xdr:col>2</xdr:col>
      <xdr:colOff>1854200</xdr:colOff>
      <xdr:row>2</xdr:row>
      <xdr:rowOff>266700</xdr:rowOff>
    </xdr:to>
    <xdr:sp macro="" textlink="">
      <xdr:nvSpPr>
        <xdr:cNvPr id="9" name="Retângulo: Cantos Superiore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F17ECA-798E-49B9-BD4D-A871A9DE9EA4}"/>
            </a:ext>
          </a:extLst>
        </xdr:cNvPr>
        <xdr:cNvSpPr/>
      </xdr:nvSpPr>
      <xdr:spPr>
        <a:xfrm>
          <a:off x="1920876" y="619125"/>
          <a:ext cx="695324" cy="346075"/>
        </a:xfrm>
        <a:prstGeom prst="round2SameRect">
          <a:avLst>
            <a:gd name="adj1" fmla="val 32353"/>
            <a:gd name="adj2" fmla="val 32353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2</a:t>
          </a:r>
          <a:r>
            <a:rPr lang="pt-BR" sz="1100">
              <a:solidFill>
                <a:schemeClr val="bg1"/>
              </a:solidFill>
            </a:rPr>
            <a:t>° Trim</a:t>
          </a:r>
          <a:endParaRPr lang="pt-BR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1879600</xdr:colOff>
      <xdr:row>1</xdr:row>
      <xdr:rowOff>130175</xdr:rowOff>
    </xdr:from>
    <xdr:to>
      <xdr:col>2</xdr:col>
      <xdr:colOff>2571750</xdr:colOff>
      <xdr:row>2</xdr:row>
      <xdr:rowOff>273050</xdr:rowOff>
    </xdr:to>
    <xdr:sp macro="" textlink="">
      <xdr:nvSpPr>
        <xdr:cNvPr id="10" name="Retângulo: Cantos Superiore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21BF6B-E9D3-4DCE-8C28-AD9FBA00A592}"/>
            </a:ext>
          </a:extLst>
        </xdr:cNvPr>
        <xdr:cNvSpPr/>
      </xdr:nvSpPr>
      <xdr:spPr>
        <a:xfrm>
          <a:off x="2641600" y="625475"/>
          <a:ext cx="692150" cy="346075"/>
        </a:xfrm>
        <a:prstGeom prst="round2SameRect">
          <a:avLst>
            <a:gd name="adj1" fmla="val 32353"/>
            <a:gd name="adj2" fmla="val 32353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3</a:t>
          </a:r>
          <a:r>
            <a:rPr lang="pt-BR" sz="1100">
              <a:solidFill>
                <a:schemeClr val="bg1"/>
              </a:solidFill>
            </a:rPr>
            <a:t>° Trim</a:t>
          </a:r>
          <a:endParaRPr lang="pt-BR" sz="10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2</xdr:col>
      <xdr:colOff>2593976</xdr:colOff>
      <xdr:row>1</xdr:row>
      <xdr:rowOff>130175</xdr:rowOff>
    </xdr:from>
    <xdr:to>
      <xdr:col>2</xdr:col>
      <xdr:colOff>3295650</xdr:colOff>
      <xdr:row>2</xdr:row>
      <xdr:rowOff>273050</xdr:rowOff>
    </xdr:to>
    <xdr:sp macro="" textlink="">
      <xdr:nvSpPr>
        <xdr:cNvPr id="11" name="Retângulo: Cantos Superiore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CF02A8-2210-4EBD-8AFF-715D4AD36943}"/>
            </a:ext>
          </a:extLst>
        </xdr:cNvPr>
        <xdr:cNvSpPr/>
      </xdr:nvSpPr>
      <xdr:spPr>
        <a:xfrm>
          <a:off x="3355976" y="625475"/>
          <a:ext cx="701674" cy="346075"/>
        </a:xfrm>
        <a:prstGeom prst="round2SameRect">
          <a:avLst>
            <a:gd name="adj1" fmla="val 32353"/>
            <a:gd name="adj2" fmla="val 32353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4</a:t>
          </a:r>
          <a:r>
            <a:rPr lang="pt-BR" sz="1100">
              <a:solidFill>
                <a:schemeClr val="accent1"/>
              </a:solidFill>
            </a:rPr>
            <a:t>° Trim</a:t>
          </a:r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12" name="Imagem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4DBC522-428A-4AE0-BCE8-E3EB200A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495184"/>
        </a:xfrm>
        <a:prstGeom prst="rect">
          <a:avLst/>
        </a:prstGeom>
      </xdr:spPr>
    </xdr:pic>
    <xdr:clientData/>
  </xdr:twoCellAnchor>
  <xdr:twoCellAnchor editAs="absolute">
    <xdr:from>
      <xdr:col>7</xdr:col>
      <xdr:colOff>50800</xdr:colOff>
      <xdr:row>0</xdr:row>
      <xdr:rowOff>171450</xdr:rowOff>
    </xdr:from>
    <xdr:to>
      <xdr:col>8</xdr:col>
      <xdr:colOff>266700</xdr:colOff>
      <xdr:row>1</xdr:row>
      <xdr:rowOff>0</xdr:rowOff>
    </xdr:to>
    <xdr:sp macro="" textlink="">
      <xdr:nvSpPr>
        <xdr:cNvPr id="13" name="Retângulo: Cantos Superiore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460496C-681A-4508-A164-82EB560A61E0}"/>
            </a:ext>
          </a:extLst>
        </xdr:cNvPr>
        <xdr:cNvSpPr/>
      </xdr:nvSpPr>
      <xdr:spPr>
        <a:xfrm>
          <a:off x="7823200" y="171450"/>
          <a:ext cx="1047750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 editAs="absolute">
    <xdr:from>
      <xdr:col>0</xdr:col>
      <xdr:colOff>238125</xdr:colOff>
      <xdr:row>2</xdr:row>
      <xdr:rowOff>34925</xdr:rowOff>
    </xdr:from>
    <xdr:to>
      <xdr:col>2</xdr:col>
      <xdr:colOff>225</xdr:colOff>
      <xdr:row>2</xdr:row>
      <xdr:rowOff>358775</xdr:rowOff>
    </xdr:to>
    <xdr:sp macro="" textlink="">
      <xdr:nvSpPr>
        <xdr:cNvPr id="14" name="Retângulo: Cantos Superiores Arredondados 13">
          <a:extLst>
            <a:ext uri="{FF2B5EF4-FFF2-40B4-BE49-F238E27FC236}">
              <a16:creationId xmlns:a16="http://schemas.microsoft.com/office/drawing/2014/main" id="{70E1D85D-EB3D-4658-A716-A12FD9686501}"/>
            </a:ext>
          </a:extLst>
        </xdr:cNvPr>
        <xdr:cNvSpPr/>
      </xdr:nvSpPr>
      <xdr:spPr>
        <a:xfrm>
          <a:off x="238125" y="733425"/>
          <a:ext cx="524100" cy="323850"/>
        </a:xfrm>
        <a:prstGeom prst="round2SameRect">
          <a:avLst>
            <a:gd name="adj1" fmla="val 32353"/>
            <a:gd name="adj2" fmla="val 32353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000">
            <a:solidFill>
              <a:schemeClr val="accent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1343025</xdr:colOff>
      <xdr:row>0</xdr:row>
      <xdr:rowOff>171450</xdr:rowOff>
    </xdr:from>
    <xdr:to>
      <xdr:col>2</xdr:col>
      <xdr:colOff>2343150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2</xdr:col>
      <xdr:colOff>2419350</xdr:colOff>
      <xdr:row>0</xdr:row>
      <xdr:rowOff>171450</xdr:rowOff>
    </xdr:from>
    <xdr:to>
      <xdr:col>2</xdr:col>
      <xdr:colOff>3419475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3495675</xdr:colOff>
      <xdr:row>0</xdr:row>
      <xdr:rowOff>171450</xdr:rowOff>
    </xdr:from>
    <xdr:to>
      <xdr:col>3</xdr:col>
      <xdr:colOff>390525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3</xdr:col>
      <xdr:colOff>466725</xdr:colOff>
      <xdr:row>0</xdr:row>
      <xdr:rowOff>171450</xdr:rowOff>
    </xdr:from>
    <xdr:to>
      <xdr:col>5</xdr:col>
      <xdr:colOff>142875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5</xdr:col>
      <xdr:colOff>228600</xdr:colOff>
      <xdr:row>0</xdr:row>
      <xdr:rowOff>171450</xdr:rowOff>
    </xdr:from>
    <xdr:to>
      <xdr:col>6</xdr:col>
      <xdr:colOff>381000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266700</xdr:colOff>
      <xdr:row>0</xdr:row>
      <xdr:rowOff>171450</xdr:rowOff>
    </xdr:from>
    <xdr:to>
      <xdr:col>2</xdr:col>
      <xdr:colOff>1266825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9" name="Imagem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6</xdr:col>
      <xdr:colOff>466725</xdr:colOff>
      <xdr:row>0</xdr:row>
      <xdr:rowOff>171450</xdr:rowOff>
    </xdr:from>
    <xdr:to>
      <xdr:col>7</xdr:col>
      <xdr:colOff>619125</xdr:colOff>
      <xdr:row>1</xdr:row>
      <xdr:rowOff>0</xdr:rowOff>
    </xdr:to>
    <xdr:sp macro="" textlink="">
      <xdr:nvSpPr>
        <xdr:cNvPr id="10" name="Retângulo: Cantos Superiore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7467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590550" cy="495184"/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581025</xdr:colOff>
      <xdr:row>0</xdr:row>
      <xdr:rowOff>171450</xdr:rowOff>
    </xdr:from>
    <xdr:to>
      <xdr:col>6</xdr:col>
      <xdr:colOff>323850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6</xdr:col>
      <xdr:colOff>400050</xdr:colOff>
      <xdr:row>0</xdr:row>
      <xdr:rowOff>171450</xdr:rowOff>
    </xdr:from>
    <xdr:to>
      <xdr:col>8</xdr:col>
      <xdr:colOff>117475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8</xdr:col>
      <xdr:colOff>193675</xdr:colOff>
      <xdr:row>0</xdr:row>
      <xdr:rowOff>171450</xdr:rowOff>
    </xdr:from>
    <xdr:to>
      <xdr:col>9</xdr:col>
      <xdr:colOff>615950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10</xdr:col>
      <xdr:colOff>50800</xdr:colOff>
      <xdr:row>0</xdr:row>
      <xdr:rowOff>171450</xdr:rowOff>
    </xdr:from>
    <xdr:to>
      <xdr:col>11</xdr:col>
      <xdr:colOff>441325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11</xdr:col>
      <xdr:colOff>558800</xdr:colOff>
      <xdr:row>0</xdr:row>
      <xdr:rowOff>171450</xdr:rowOff>
    </xdr:from>
    <xdr:to>
      <xdr:col>13</xdr:col>
      <xdr:colOff>307975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3</xdr:col>
      <xdr:colOff>133350</xdr:colOff>
      <xdr:row>0</xdr:row>
      <xdr:rowOff>171450</xdr:rowOff>
    </xdr:from>
    <xdr:to>
      <xdr:col>4</xdr:col>
      <xdr:colOff>504825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495184</xdr:rowOff>
    </xdr:to>
    <xdr:pic>
      <xdr:nvPicPr>
        <xdr:cNvPr id="10" name="Imagem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13</xdr:col>
      <xdr:colOff>393700</xdr:colOff>
      <xdr:row>0</xdr:row>
      <xdr:rowOff>171450</xdr:rowOff>
    </xdr:from>
    <xdr:to>
      <xdr:col>15</xdr:col>
      <xdr:colOff>174625</xdr:colOff>
      <xdr:row>1</xdr:row>
      <xdr:rowOff>0</xdr:rowOff>
    </xdr:to>
    <xdr:sp macro="" textlink="">
      <xdr:nvSpPr>
        <xdr:cNvPr id="11" name="Retângulo: Cantos Superiore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7467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177800</xdr:rowOff>
        </xdr:from>
        <xdr:to>
          <xdr:col>4</xdr:col>
          <xdr:colOff>444500</xdr:colOff>
          <xdr:row>5</xdr:row>
          <xdr:rowOff>12700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190500</xdr:colOff>
      <xdr:row>6</xdr:row>
      <xdr:rowOff>7620</xdr:rowOff>
    </xdr:from>
    <xdr:to>
      <xdr:col>15</xdr:col>
      <xdr:colOff>174625</xdr:colOff>
      <xdr:row>26</xdr:row>
      <xdr:rowOff>172720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600075</xdr:colOff>
      <xdr:row>0</xdr:row>
      <xdr:rowOff>171450</xdr:rowOff>
    </xdr:from>
    <xdr:to>
      <xdr:col>5</xdr:col>
      <xdr:colOff>657225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Cadastro</a:t>
          </a:r>
        </a:p>
      </xdr:txBody>
    </xdr:sp>
    <xdr:clientData/>
  </xdr:twoCellAnchor>
  <xdr:twoCellAnchor editAs="absolute">
    <xdr:from>
      <xdr:col>5</xdr:col>
      <xdr:colOff>733425</xdr:colOff>
      <xdr:row>0</xdr:row>
      <xdr:rowOff>171450</xdr:rowOff>
    </xdr:from>
    <xdr:to>
      <xdr:col>7</xdr:col>
      <xdr:colOff>228600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Lançamentos</a:t>
          </a:r>
        </a:p>
      </xdr:txBody>
    </xdr:sp>
    <xdr:clientData/>
  </xdr:twoCellAnchor>
  <xdr:twoCellAnchor editAs="absolute">
    <xdr:from>
      <xdr:col>7</xdr:col>
      <xdr:colOff>304800</xdr:colOff>
      <xdr:row>0</xdr:row>
      <xdr:rowOff>171450</xdr:rowOff>
    </xdr:from>
    <xdr:to>
      <xdr:col>8</xdr:col>
      <xdr:colOff>552450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Resultados</a:t>
          </a:r>
        </a:p>
      </xdr:txBody>
    </xdr:sp>
    <xdr:clientData/>
  </xdr:twoCellAnchor>
  <xdr:twoCellAnchor editAs="absolute">
    <xdr:from>
      <xdr:col>8</xdr:col>
      <xdr:colOff>628650</xdr:colOff>
      <xdr:row>0</xdr:row>
      <xdr:rowOff>171450</xdr:rowOff>
    </xdr:from>
    <xdr:to>
      <xdr:col>10</xdr:col>
      <xdr:colOff>123825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Gráficos</a:t>
          </a:r>
        </a:p>
      </xdr:txBody>
    </xdr:sp>
    <xdr:clientData/>
  </xdr:twoCellAnchor>
  <xdr:twoCellAnchor editAs="absolute">
    <xdr:from>
      <xdr:col>10</xdr:col>
      <xdr:colOff>209550</xdr:colOff>
      <xdr:row>0</xdr:row>
      <xdr:rowOff>171450</xdr:rowOff>
    </xdr:from>
    <xdr:to>
      <xdr:col>11</xdr:col>
      <xdr:colOff>457200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solidFill>
                <a:schemeClr val="accent1"/>
              </a:solidFill>
              <a:latin typeface="Segoe UI" panose="020B0502040204020203" pitchFamily="34" charset="0"/>
              <a:cs typeface="Segoe UI" panose="020B0502040204020203" pitchFamily="34" charset="0"/>
            </a:rPr>
            <a:t>Impressão</a:t>
          </a:r>
        </a:p>
      </xdr:txBody>
    </xdr:sp>
    <xdr:clientData/>
  </xdr:twoCellAnchor>
  <xdr:twoCellAnchor editAs="absolute">
    <xdr:from>
      <xdr:col>2</xdr:col>
      <xdr:colOff>571500</xdr:colOff>
      <xdr:row>0</xdr:row>
      <xdr:rowOff>171450</xdr:rowOff>
    </xdr:from>
    <xdr:to>
      <xdr:col>4</xdr:col>
      <xdr:colOff>523875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Início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0</xdr:row>
      <xdr:rowOff>495184</xdr:rowOff>
    </xdr:to>
    <xdr:pic>
      <xdr:nvPicPr>
        <xdr:cNvPr id="9" name="Imagem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11</xdr:col>
      <xdr:colOff>542925</xdr:colOff>
      <xdr:row>0</xdr:row>
      <xdr:rowOff>171450</xdr:rowOff>
    </xdr:from>
    <xdr:to>
      <xdr:col>13</xdr:col>
      <xdr:colOff>38100</xdr:colOff>
      <xdr:row>1</xdr:row>
      <xdr:rowOff>0</xdr:rowOff>
    </xdr:to>
    <xdr:sp macro="" textlink="">
      <xdr:nvSpPr>
        <xdr:cNvPr id="10" name="Retângulo: Cantos Superiore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7467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>
              <a:latin typeface="Segoe UI" panose="020B0502040204020203" pitchFamily="34" charset="0"/>
              <a:cs typeface="Segoe UI" panose="020B0502040204020203" pitchFamily="34" charset="0"/>
            </a:rPr>
            <a:t>Sobre Nós</a:t>
          </a:r>
        </a:p>
      </xdr:txBody>
    </xdr:sp>
    <xdr:clientData/>
  </xdr:twoCellAnchor>
  <xdr:twoCellAnchor>
    <xdr:from>
      <xdr:col>2</xdr:col>
      <xdr:colOff>1</xdr:colOff>
      <xdr:row>12</xdr:row>
      <xdr:rowOff>0</xdr:rowOff>
    </xdr:from>
    <xdr:to>
      <xdr:col>8</xdr:col>
      <xdr:colOff>768351</xdr:colOff>
      <xdr:row>29</xdr:row>
      <xdr:rowOff>101600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58A0CE-3B9E-4D17-8752-AA525AD23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5</xdr:row>
      <xdr:rowOff>38100</xdr:rowOff>
    </xdr:from>
    <xdr:to>
      <xdr:col>10</xdr:col>
      <xdr:colOff>219074</xdr:colOff>
      <xdr:row>22</xdr:row>
      <xdr:rowOff>171450</xdr:rowOff>
    </xdr:to>
    <xdr:sp macro="" textlink="">
      <xdr:nvSpPr>
        <xdr:cNvPr id="15" name="Shape 9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3000374" y="1676400"/>
          <a:ext cx="2771775" cy="337185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Segoe UI" panose="020B0502040204020203" pitchFamily="34" charset="0"/>
              <a:cs typeface="Segoe UI" panose="020B0502040204020203" pitchFamily="34" charset="0"/>
              <a:sym typeface="Calibri"/>
            </a:rPr>
            <a:t>funcaocontabil/planilhas</a:t>
          </a:r>
          <a:endParaRPr sz="1200">
            <a:latin typeface="Segoe UI" panose="020B0502040204020203" pitchFamily="34" charset="0"/>
            <a:cs typeface="Segoe UI" panose="020B05020402040202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Planilhas</a:t>
          </a:r>
          <a:r>
            <a:rPr lang="en-US" sz="1600" b="1" baseline="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 Excel</a:t>
          </a:r>
          <a:endParaRPr sz="1400"/>
        </a:p>
      </xdr:txBody>
    </xdr:sp>
    <xdr:clientData/>
  </xdr:twoCellAnchor>
  <xdr:twoCellAnchor editAs="oneCell">
    <xdr:from>
      <xdr:col>6</xdr:col>
      <xdr:colOff>285748</xdr:colOff>
      <xdr:row>11</xdr:row>
      <xdr:rowOff>123822</xdr:rowOff>
    </xdr:from>
    <xdr:to>
      <xdr:col>9</xdr:col>
      <xdr:colOff>400049</xdr:colOff>
      <xdr:row>21</xdr:row>
      <xdr:rowOff>123824</xdr:rowOff>
    </xdr:to>
    <xdr:pic>
      <xdr:nvPicPr>
        <xdr:cNvPr id="26" name="Gráfico 25" descr="Calendário Diár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00423" y="2905122"/>
          <a:ext cx="1943101" cy="1809752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5</xdr:row>
      <xdr:rowOff>38100</xdr:rowOff>
    </xdr:from>
    <xdr:to>
      <xdr:col>14</xdr:col>
      <xdr:colOff>571500</xdr:colOff>
      <xdr:row>22</xdr:row>
      <xdr:rowOff>171450</xdr:rowOff>
    </xdr:to>
    <xdr:sp macro="" textlink="">
      <xdr:nvSpPr>
        <xdr:cNvPr id="27" name="Shape 94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/>
      </xdr:nvSpPr>
      <xdr:spPr>
        <a:xfrm>
          <a:off x="5791200" y="1676400"/>
          <a:ext cx="2771775" cy="337185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Segoe UI" panose="020B0502040204020203" pitchFamily="34" charset="0"/>
              <a:cs typeface="Segoe UI" panose="020B0502040204020203" pitchFamily="34" charset="0"/>
              <a:sym typeface="Calibri"/>
            </a:rPr>
            <a:t>funcaocontabil/contato</a:t>
          </a:r>
          <a:endParaRPr sz="1200">
            <a:latin typeface="Segoe UI" panose="020B0502040204020203" pitchFamily="34" charset="0"/>
            <a:cs typeface="Segoe UI" panose="020B05020402040202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3F3F3F"/>
              </a:solidFill>
              <a:latin typeface="Calibri"/>
              <a:cs typeface="Calibri"/>
              <a:sym typeface="Calibri"/>
            </a:rPr>
            <a:t>Contato</a:t>
          </a:r>
          <a:endParaRPr sz="1400"/>
        </a:p>
      </xdr:txBody>
    </xdr:sp>
    <xdr:clientData/>
  </xdr:twoCellAnchor>
  <xdr:twoCellAnchor editAs="absolute">
    <xdr:from>
      <xdr:col>4</xdr:col>
      <xdr:colOff>171450</xdr:colOff>
      <xdr:row>0</xdr:row>
      <xdr:rowOff>171450</xdr:rowOff>
    </xdr:from>
    <xdr:to>
      <xdr:col>5</xdr:col>
      <xdr:colOff>561975</xdr:colOff>
      <xdr:row>1</xdr:row>
      <xdr:rowOff>0</xdr:rowOff>
    </xdr:to>
    <xdr:sp macro="" textlink="">
      <xdr:nvSpPr>
        <xdr:cNvPr id="2" name="Retângulo: Cantos Superiores Arredondados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06692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6</xdr:col>
      <xdr:colOff>28575</xdr:colOff>
      <xdr:row>0</xdr:row>
      <xdr:rowOff>171450</xdr:rowOff>
    </xdr:from>
    <xdr:to>
      <xdr:col>7</xdr:col>
      <xdr:colOff>419100</xdr:colOff>
      <xdr:row>1</xdr:row>
      <xdr:rowOff>0</xdr:rowOff>
    </xdr:to>
    <xdr:sp macro="" textlink="">
      <xdr:nvSpPr>
        <xdr:cNvPr id="3" name="Retângulo: Cantos Superiores Arredondados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314325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Lançamentos</a:t>
          </a:r>
        </a:p>
      </xdr:txBody>
    </xdr:sp>
    <xdr:clientData/>
  </xdr:twoCellAnchor>
  <xdr:twoCellAnchor editAs="absolute">
    <xdr:from>
      <xdr:col>7</xdr:col>
      <xdr:colOff>495300</xdr:colOff>
      <xdr:row>0</xdr:row>
      <xdr:rowOff>171450</xdr:rowOff>
    </xdr:from>
    <xdr:to>
      <xdr:col>9</xdr:col>
      <xdr:colOff>276225</xdr:colOff>
      <xdr:row>1</xdr:row>
      <xdr:rowOff>0</xdr:rowOff>
    </xdr:to>
    <xdr:sp macro="" textlink="">
      <xdr:nvSpPr>
        <xdr:cNvPr id="4" name="Retângulo: Cantos Superiores Arredondados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4219575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9</xdr:col>
      <xdr:colOff>352425</xdr:colOff>
      <xdr:row>0</xdr:row>
      <xdr:rowOff>171450</xdr:rowOff>
    </xdr:from>
    <xdr:to>
      <xdr:col>11</xdr:col>
      <xdr:colOff>133350</xdr:colOff>
      <xdr:row>1</xdr:row>
      <xdr:rowOff>0</xdr:rowOff>
    </xdr:to>
    <xdr:sp macro="" textlink="">
      <xdr:nvSpPr>
        <xdr:cNvPr id="5" name="Retângulo: Cantos Superiore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52959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11</xdr:col>
      <xdr:colOff>219075</xdr:colOff>
      <xdr:row>0</xdr:row>
      <xdr:rowOff>171450</xdr:rowOff>
    </xdr:from>
    <xdr:to>
      <xdr:col>13</xdr:col>
      <xdr:colOff>0</xdr:colOff>
      <xdr:row>1</xdr:row>
      <xdr:rowOff>0</xdr:rowOff>
    </xdr:to>
    <xdr:sp macro="" textlink="">
      <xdr:nvSpPr>
        <xdr:cNvPr id="6" name="Retângulo: Cantos Superiores Arredondados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6381750" y="171450"/>
          <a:ext cx="1000125" cy="323850"/>
        </a:xfrm>
        <a:prstGeom prst="round2Same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solidFill>
                <a:schemeClr val="bg1"/>
              </a:solidFill>
            </a:rPr>
            <a:t>Impressão</a:t>
          </a:r>
        </a:p>
      </xdr:txBody>
    </xdr:sp>
    <xdr:clientData/>
  </xdr:twoCellAnchor>
  <xdr:twoCellAnchor editAs="absolute">
    <xdr:from>
      <xdr:col>2</xdr:col>
      <xdr:colOff>314325</xdr:colOff>
      <xdr:row>0</xdr:row>
      <xdr:rowOff>171450</xdr:rowOff>
    </xdr:from>
    <xdr:to>
      <xdr:col>4</xdr:col>
      <xdr:colOff>95250</xdr:colOff>
      <xdr:row>1</xdr:row>
      <xdr:rowOff>0</xdr:rowOff>
    </xdr:to>
    <xdr:sp macro="" textlink="">
      <xdr:nvSpPr>
        <xdr:cNvPr id="7" name="Retângulo: Cantos Superiores Arredondados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990600" y="171450"/>
          <a:ext cx="1000125" cy="323850"/>
        </a:xfrm>
        <a:prstGeom prst="round2Same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Início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495184</xdr:rowOff>
    </xdr:to>
    <xdr:pic>
      <xdr:nvPicPr>
        <xdr:cNvPr id="9" name="Imagem 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495184"/>
        </a:xfrm>
        <a:prstGeom prst="rect">
          <a:avLst/>
        </a:prstGeom>
      </xdr:spPr>
    </xdr:pic>
    <xdr:clientData/>
  </xdr:twoCellAnchor>
  <xdr:twoCellAnchor editAs="absolute">
    <xdr:from>
      <xdr:col>13</xdr:col>
      <xdr:colOff>104775</xdr:colOff>
      <xdr:row>0</xdr:row>
      <xdr:rowOff>171450</xdr:rowOff>
    </xdr:from>
    <xdr:to>
      <xdr:col>14</xdr:col>
      <xdr:colOff>495300</xdr:colOff>
      <xdr:row>1</xdr:row>
      <xdr:rowOff>0</xdr:rowOff>
    </xdr:to>
    <xdr:sp macro="" textlink="">
      <xdr:nvSpPr>
        <xdr:cNvPr id="10" name="Retângulo: Cantos Superiores Arredondados 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7486650" y="171450"/>
          <a:ext cx="1000125" cy="323850"/>
        </a:xfrm>
        <a:prstGeom prst="round2Same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accent1"/>
              </a:solidFill>
            </a:rPr>
            <a:t>Sobre Nós</a:t>
          </a:r>
        </a:p>
      </xdr:txBody>
    </xdr:sp>
    <xdr:clientData/>
  </xdr:twoCellAnchor>
  <xdr:twoCellAnchor>
    <xdr:from>
      <xdr:col>0</xdr:col>
      <xdr:colOff>209549</xdr:colOff>
      <xdr:row>5</xdr:row>
      <xdr:rowOff>38100</xdr:rowOff>
    </xdr:from>
    <xdr:to>
      <xdr:col>5</xdr:col>
      <xdr:colOff>476249</xdr:colOff>
      <xdr:row>22</xdr:row>
      <xdr:rowOff>171450</xdr:rowOff>
    </xdr:to>
    <xdr:sp macro="" textlink="">
      <xdr:nvSpPr>
        <xdr:cNvPr id="11" name="Shape 94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209549" y="1466850"/>
          <a:ext cx="2771775" cy="320992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Segoe UI" panose="020B0502040204020203" pitchFamily="34" charset="0"/>
              <a:cs typeface="Segoe UI" panose="020B0502040204020203" pitchFamily="34" charset="0"/>
              <a:sym typeface="Calibri"/>
            </a:rPr>
            <a:t>funcaocontabil.net</a:t>
          </a:r>
          <a:endParaRPr sz="1200">
            <a:latin typeface="Segoe UI" panose="020B0502040204020203" pitchFamily="34" charset="0"/>
            <a:cs typeface="Segoe UI" panose="020B05020402040202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Planilhas</a:t>
          </a:r>
          <a:r>
            <a:rPr lang="en-US" sz="1600" b="1" baseline="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 de Contabilidade</a:t>
          </a:r>
          <a:endParaRPr sz="1400"/>
        </a:p>
      </xdr:txBody>
    </xdr:sp>
    <xdr:clientData/>
  </xdr:twoCellAnchor>
  <xdr:twoCellAnchor editAs="oneCell">
    <xdr:from>
      <xdr:col>2</xdr:col>
      <xdr:colOff>28575</xdr:colOff>
      <xdr:row>11</xdr:row>
      <xdr:rowOff>142874</xdr:rowOff>
    </xdr:from>
    <xdr:to>
      <xdr:col>4</xdr:col>
      <xdr:colOff>529776</xdr:colOff>
      <xdr:row>21</xdr:row>
      <xdr:rowOff>85725</xdr:rowOff>
    </xdr:to>
    <xdr:pic>
      <xdr:nvPicPr>
        <xdr:cNvPr id="12" name="Imagem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924174"/>
          <a:ext cx="1720401" cy="175260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12</xdr:row>
      <xdr:rowOff>180975</xdr:rowOff>
    </xdr:from>
    <xdr:to>
      <xdr:col>14</xdr:col>
      <xdr:colOff>104775</xdr:colOff>
      <xdr:row>20</xdr:row>
      <xdr:rowOff>161924</xdr:rowOff>
    </xdr:to>
    <xdr:pic>
      <xdr:nvPicPr>
        <xdr:cNvPr id="24" name="Gráfico 23" descr="Emai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6362700" y="3152775"/>
          <a:ext cx="1733550" cy="14287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caocontabil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uncaocontabil.ne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uncaocontabil.ne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uncaocontabil.ne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uncaocontabil.ne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uncaocontabil.ne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uncaocontabil.ne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uncaocontabil.net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uncaocontabil.net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uncaocontabi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E15"/>
  <sheetViews>
    <sheetView showGridLines="0" tabSelected="1" workbookViewId="0">
      <selection activeCell="E7" sqref="E7"/>
    </sheetView>
  </sheetViews>
  <sheetFormatPr defaultColWidth="9.1796875" defaultRowHeight="16" x14ac:dyDescent="0.45"/>
  <cols>
    <col min="1" max="1" width="3.7265625" style="7" customWidth="1"/>
    <col min="2" max="2" width="4.7265625" style="9" customWidth="1"/>
    <col min="3" max="3" width="7.7265625" style="9" customWidth="1"/>
    <col min="4" max="4" width="15" style="9" customWidth="1"/>
    <col min="5" max="5" width="96.7265625" style="9" customWidth="1"/>
    <col min="6" max="16384" width="9.1796875" style="9"/>
  </cols>
  <sheetData>
    <row r="1" spans="1:5" s="10" customFormat="1" ht="39" customHeight="1" x14ac:dyDescent="0.45">
      <c r="A1" s="6"/>
    </row>
    <row r="2" spans="1:5" x14ac:dyDescent="0.45">
      <c r="A2" s="2" t="s">
        <v>5</v>
      </c>
    </row>
    <row r="3" spans="1:5" s="47" customFormat="1" ht="30" customHeight="1" x14ac:dyDescent="0.65">
      <c r="A3" s="45"/>
      <c r="B3" s="46" t="s">
        <v>83</v>
      </c>
    </row>
    <row r="5" spans="1:5" ht="30" customHeight="1" x14ac:dyDescent="0.45">
      <c r="C5" s="1">
        <v>1</v>
      </c>
      <c r="D5" s="14" t="s">
        <v>0</v>
      </c>
      <c r="E5" s="15" t="s">
        <v>81</v>
      </c>
    </row>
    <row r="6" spans="1:5" ht="9.75" customHeight="1" x14ac:dyDescent="0.45">
      <c r="E6" s="15"/>
    </row>
    <row r="7" spans="1:5" ht="30" customHeight="1" x14ac:dyDescent="0.45">
      <c r="C7" s="1">
        <v>2</v>
      </c>
      <c r="D7" s="14" t="s">
        <v>1</v>
      </c>
      <c r="E7" s="15" t="s">
        <v>82</v>
      </c>
    </row>
    <row r="8" spans="1:5" ht="9.75" customHeight="1" x14ac:dyDescent="0.45">
      <c r="E8" s="15"/>
    </row>
    <row r="9" spans="1:5" ht="30" customHeight="1" x14ac:dyDescent="0.45">
      <c r="C9" s="1">
        <v>3</v>
      </c>
      <c r="D9" s="14" t="s">
        <v>2</v>
      </c>
      <c r="E9" s="15" t="s">
        <v>78</v>
      </c>
    </row>
    <row r="10" spans="1:5" ht="9.75" customHeight="1" x14ac:dyDescent="0.45">
      <c r="E10" s="15"/>
    </row>
    <row r="11" spans="1:5" ht="30" customHeight="1" x14ac:dyDescent="0.45">
      <c r="C11" s="1">
        <v>4</v>
      </c>
      <c r="D11" s="14" t="s">
        <v>3</v>
      </c>
      <c r="E11" s="15" t="s">
        <v>79</v>
      </c>
    </row>
    <row r="12" spans="1:5" ht="9.75" customHeight="1" x14ac:dyDescent="0.45">
      <c r="E12" s="15"/>
    </row>
    <row r="13" spans="1:5" ht="30" customHeight="1" x14ac:dyDescent="0.45">
      <c r="C13" s="1">
        <v>5</v>
      </c>
      <c r="D13" s="14" t="s">
        <v>4</v>
      </c>
      <c r="E13" s="15" t="s">
        <v>80</v>
      </c>
    </row>
    <row r="15" spans="1:5" ht="30" customHeight="1" x14ac:dyDescent="0.45">
      <c r="C15" s="1">
        <v>6</v>
      </c>
      <c r="D15" s="14" t="s">
        <v>6</v>
      </c>
      <c r="E15" s="15" t="s">
        <v>7</v>
      </c>
    </row>
  </sheetData>
  <sheetProtection algorithmName="SHA-512" hashValue="UiRdjbyI3RYvvsvnlQC5aFv5nfL8HeLiW6JpN/zepksNg/gCYktBJ5qBBhsk21Iagz5okV1zZkdWV8A9wKzF4Q==" saltValue="TI19GmOgwgPcIvjNXhw7JA==" spinCount="100000" sheet="1" selectLockedCells="1"/>
  <hyperlinks>
    <hyperlink ref="A2" r:id="rId1" xr:uid="{CD97CB3B-B3B7-4C3D-9A47-51DB42C9A0E6}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Q49"/>
  <sheetViews>
    <sheetView showGridLines="0" zoomScaleNormal="100" workbookViewId="0">
      <pane ySplit="4" topLeftCell="A5" activePane="bottomLeft" state="frozen"/>
      <selection pane="bottomLeft" activeCell="E42" sqref="E42"/>
    </sheetView>
  </sheetViews>
  <sheetFormatPr defaultColWidth="9.1796875" defaultRowHeight="16" x14ac:dyDescent="0.45"/>
  <cols>
    <col min="1" max="1" width="3.7265625" style="7" customWidth="1"/>
    <col min="2" max="2" width="7.1796875" style="9" customWidth="1"/>
    <col min="3" max="3" width="56.6328125" style="9" bestFit="1" customWidth="1"/>
    <col min="4" max="4" width="7.1796875" style="9" bestFit="1" customWidth="1"/>
    <col min="5" max="16" width="12.7265625" style="9" customWidth="1"/>
    <col min="17" max="17" width="12.54296875" style="9" customWidth="1"/>
    <col min="18" max="16384" width="9.1796875" style="9"/>
  </cols>
  <sheetData>
    <row r="1" spans="1:16" s="10" customFormat="1" ht="39" customHeight="1" x14ac:dyDescent="0.45">
      <c r="A1" s="6"/>
    </row>
    <row r="2" spans="1:16" x14ac:dyDescent="0.45">
      <c r="A2" s="5" t="s">
        <v>5</v>
      </c>
    </row>
    <row r="3" spans="1:16" ht="30" customHeight="1" thickBot="1" x14ac:dyDescent="0.5">
      <c r="B3" s="19">
        <v>2025</v>
      </c>
    </row>
    <row r="4" spans="1:16" ht="16.5" thickTop="1" x14ac:dyDescent="0.45">
      <c r="B4" s="22" t="s">
        <v>9</v>
      </c>
      <c r="C4" s="22" t="s">
        <v>10</v>
      </c>
      <c r="D4" s="22" t="s">
        <v>11</v>
      </c>
      <c r="E4" s="22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22" t="s">
        <v>17</v>
      </c>
      <c r="K4" s="22" t="s">
        <v>18</v>
      </c>
      <c r="L4" s="22" t="s">
        <v>19</v>
      </c>
      <c r="M4" s="22" t="s">
        <v>20</v>
      </c>
      <c r="N4" s="22" t="s">
        <v>21</v>
      </c>
      <c r="O4" s="22" t="s">
        <v>22</v>
      </c>
      <c r="P4" s="22" t="s">
        <v>23</v>
      </c>
    </row>
    <row r="5" spans="1:16" x14ac:dyDescent="0.45">
      <c r="A5" s="12">
        <v>2020</v>
      </c>
      <c r="B5" s="23" t="s">
        <v>54</v>
      </c>
      <c r="C5" s="24" t="s">
        <v>69</v>
      </c>
      <c r="D5" s="25"/>
      <c r="E5" s="51">
        <v>40000</v>
      </c>
      <c r="F5" s="51">
        <v>20000</v>
      </c>
      <c r="G5" s="51">
        <v>20000</v>
      </c>
      <c r="H5" s="51">
        <v>20000</v>
      </c>
      <c r="I5" s="51">
        <v>-20000</v>
      </c>
      <c r="J5" s="51">
        <v>-40000</v>
      </c>
      <c r="K5" s="51">
        <v>30000</v>
      </c>
      <c r="L5" s="51">
        <v>30000</v>
      </c>
      <c r="M5" s="51">
        <v>10000</v>
      </c>
      <c r="N5" s="51">
        <v>30000</v>
      </c>
      <c r="O5" s="51">
        <v>30000</v>
      </c>
      <c r="P5" s="51">
        <v>50000</v>
      </c>
    </row>
    <row r="6" spans="1:16" x14ac:dyDescent="0.45">
      <c r="A6" s="12">
        <v>2021</v>
      </c>
      <c r="B6" s="23" t="s">
        <v>54</v>
      </c>
      <c r="C6" s="24" t="s">
        <v>25</v>
      </c>
      <c r="D6" s="25"/>
      <c r="E6" s="41">
        <f>SUM(E7:E19)</f>
        <v>2750</v>
      </c>
      <c r="F6" s="41">
        <f t="shared" ref="F6:P6" si="0">SUM(F7:F19)</f>
        <v>3000</v>
      </c>
      <c r="G6" s="41">
        <f t="shared" si="0"/>
        <v>1450</v>
      </c>
      <c r="H6" s="41">
        <f t="shared" si="0"/>
        <v>2500</v>
      </c>
      <c r="I6" s="41">
        <f t="shared" si="0"/>
        <v>1200</v>
      </c>
      <c r="J6" s="41">
        <f t="shared" si="0"/>
        <v>1200</v>
      </c>
      <c r="K6" s="41">
        <f t="shared" si="0"/>
        <v>2800</v>
      </c>
      <c r="L6" s="41">
        <f t="shared" si="0"/>
        <v>1600</v>
      </c>
      <c r="M6" s="41">
        <f t="shared" si="0"/>
        <v>1800</v>
      </c>
      <c r="N6" s="41">
        <f t="shared" si="0"/>
        <v>5800</v>
      </c>
      <c r="O6" s="41">
        <f t="shared" si="0"/>
        <v>5800</v>
      </c>
      <c r="P6" s="41">
        <f t="shared" si="0"/>
        <v>3000</v>
      </c>
    </row>
    <row r="7" spans="1:16" x14ac:dyDescent="0.45">
      <c r="A7" s="12">
        <v>2022</v>
      </c>
      <c r="B7" s="26" t="s">
        <v>24</v>
      </c>
      <c r="C7" s="27" t="s">
        <v>26</v>
      </c>
      <c r="D7" s="28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x14ac:dyDescent="0.45">
      <c r="A8" s="12">
        <v>2023</v>
      </c>
      <c r="B8" s="26" t="s">
        <v>24</v>
      </c>
      <c r="C8" s="27" t="s">
        <v>27</v>
      </c>
      <c r="D8" s="2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x14ac:dyDescent="0.45">
      <c r="A9" s="12">
        <v>2024</v>
      </c>
      <c r="B9" s="26" t="s">
        <v>24</v>
      </c>
      <c r="C9" s="27" t="s">
        <v>28</v>
      </c>
      <c r="D9" s="28"/>
      <c r="E9" s="50">
        <v>300</v>
      </c>
      <c r="F9" s="50">
        <v>300</v>
      </c>
      <c r="G9" s="50">
        <v>100</v>
      </c>
      <c r="H9" s="50">
        <v>1000</v>
      </c>
      <c r="I9" s="50">
        <v>100</v>
      </c>
      <c r="J9" s="50">
        <v>100</v>
      </c>
      <c r="K9" s="50">
        <v>400</v>
      </c>
      <c r="L9" s="50">
        <v>400</v>
      </c>
      <c r="M9" s="50">
        <v>100</v>
      </c>
      <c r="N9" s="50">
        <v>500</v>
      </c>
      <c r="O9" s="50">
        <v>500</v>
      </c>
      <c r="P9" s="50">
        <v>500</v>
      </c>
    </row>
    <row r="10" spans="1:16" x14ac:dyDescent="0.45">
      <c r="A10" s="12">
        <v>2025</v>
      </c>
      <c r="B10" s="26" t="s">
        <v>24</v>
      </c>
      <c r="C10" s="27" t="s">
        <v>29</v>
      </c>
      <c r="D10" s="28"/>
      <c r="E10" s="50">
        <v>2000</v>
      </c>
      <c r="F10" s="50">
        <v>2000</v>
      </c>
      <c r="G10" s="50">
        <v>1000</v>
      </c>
      <c r="H10" s="50">
        <v>1000</v>
      </c>
      <c r="I10" s="50">
        <v>1000</v>
      </c>
      <c r="J10" s="50">
        <v>1000</v>
      </c>
      <c r="K10" s="50">
        <v>2000</v>
      </c>
      <c r="L10" s="50">
        <v>1000</v>
      </c>
      <c r="M10" s="50">
        <v>1500</v>
      </c>
      <c r="N10" s="50">
        <v>5000</v>
      </c>
      <c r="O10" s="50">
        <v>5000</v>
      </c>
      <c r="P10" s="50">
        <v>2000</v>
      </c>
    </row>
    <row r="11" spans="1:16" x14ac:dyDescent="0.45">
      <c r="A11" s="12">
        <v>2026</v>
      </c>
      <c r="B11" s="26" t="s">
        <v>24</v>
      </c>
      <c r="C11" s="27" t="s">
        <v>30</v>
      </c>
      <c r="D11" s="2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45">
      <c r="A12" s="12">
        <v>2027</v>
      </c>
      <c r="B12" s="26" t="s">
        <v>24</v>
      </c>
      <c r="C12" s="27" t="s">
        <v>31</v>
      </c>
      <c r="D12" s="2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45">
      <c r="A13" s="12">
        <v>2028</v>
      </c>
      <c r="B13" s="26" t="s">
        <v>24</v>
      </c>
      <c r="C13" s="27" t="s">
        <v>32</v>
      </c>
      <c r="D13" s="2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45">
      <c r="A14" s="12">
        <v>2029</v>
      </c>
      <c r="B14" s="26" t="s">
        <v>24</v>
      </c>
      <c r="C14" s="27" t="s">
        <v>33</v>
      </c>
      <c r="D14" s="2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45">
      <c r="A15" s="12">
        <v>2030</v>
      </c>
      <c r="B15" s="26" t="s">
        <v>24</v>
      </c>
      <c r="C15" s="27" t="s">
        <v>34</v>
      </c>
      <c r="D15" s="28"/>
      <c r="E15" s="50">
        <v>250</v>
      </c>
      <c r="F15" s="50">
        <v>500</v>
      </c>
      <c r="G15" s="50">
        <v>250</v>
      </c>
      <c r="H15" s="50"/>
      <c r="I15" s="50"/>
      <c r="J15" s="50"/>
      <c r="K15" s="50">
        <v>200</v>
      </c>
      <c r="L15" s="50"/>
      <c r="M15" s="50"/>
      <c r="N15" s="50">
        <v>100</v>
      </c>
      <c r="O15" s="50">
        <v>100</v>
      </c>
      <c r="P15" s="50">
        <v>100</v>
      </c>
    </row>
    <row r="16" spans="1:16" x14ac:dyDescent="0.45">
      <c r="A16" s="12">
        <v>2031</v>
      </c>
      <c r="B16" s="26" t="s">
        <v>24</v>
      </c>
      <c r="C16" s="27" t="s">
        <v>35</v>
      </c>
      <c r="D16" s="2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45">
      <c r="A17" s="12">
        <v>2032</v>
      </c>
      <c r="B17" s="26" t="s">
        <v>24</v>
      </c>
      <c r="C17" s="27" t="s">
        <v>36</v>
      </c>
      <c r="D17" s="28"/>
      <c r="E17" s="50">
        <v>200</v>
      </c>
      <c r="F17" s="50">
        <v>200</v>
      </c>
      <c r="G17" s="50">
        <v>100</v>
      </c>
      <c r="H17" s="50">
        <v>500</v>
      </c>
      <c r="I17" s="50">
        <v>100</v>
      </c>
      <c r="J17" s="50">
        <v>100</v>
      </c>
      <c r="K17" s="50">
        <v>200</v>
      </c>
      <c r="L17" s="50">
        <v>200</v>
      </c>
      <c r="M17" s="50">
        <v>200</v>
      </c>
      <c r="N17" s="50">
        <v>200</v>
      </c>
      <c r="O17" s="50">
        <v>200</v>
      </c>
      <c r="P17" s="50">
        <v>400</v>
      </c>
    </row>
    <row r="18" spans="1:16" x14ac:dyDescent="0.45">
      <c r="A18" s="12">
        <v>2033</v>
      </c>
      <c r="B18" s="26" t="s">
        <v>24</v>
      </c>
      <c r="C18" s="27" t="s">
        <v>37</v>
      </c>
      <c r="D18" s="2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45">
      <c r="A19" s="12">
        <v>2034</v>
      </c>
      <c r="B19" s="26" t="s">
        <v>24</v>
      </c>
      <c r="C19" s="27" t="s">
        <v>38</v>
      </c>
      <c r="D19" s="2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45">
      <c r="A20" s="12">
        <v>2035</v>
      </c>
      <c r="B20" s="23" t="s">
        <v>54</v>
      </c>
      <c r="C20" s="24" t="s">
        <v>40</v>
      </c>
      <c r="D20" s="25"/>
      <c r="E20" s="41">
        <f>SUM(E21:E33)</f>
        <v>-10000</v>
      </c>
      <c r="F20" s="41">
        <f t="shared" ref="F20:P20" si="1">SUM(F21:F33)</f>
        <v>-5000</v>
      </c>
      <c r="G20" s="41">
        <f t="shared" si="1"/>
        <v>-5000</v>
      </c>
      <c r="H20" s="41">
        <f t="shared" si="1"/>
        <v>-3000</v>
      </c>
      <c r="I20" s="41">
        <f t="shared" si="1"/>
        <v>-1000</v>
      </c>
      <c r="J20" s="41">
        <f t="shared" si="1"/>
        <v>-1000</v>
      </c>
      <c r="K20" s="41">
        <f t="shared" si="1"/>
        <v>-5000</v>
      </c>
      <c r="L20" s="41">
        <f t="shared" si="1"/>
        <v>-2500</v>
      </c>
      <c r="M20" s="41">
        <f t="shared" si="1"/>
        <v>-2500</v>
      </c>
      <c r="N20" s="41">
        <f t="shared" si="1"/>
        <v>-5000</v>
      </c>
      <c r="O20" s="41">
        <f t="shared" si="1"/>
        <v>-10000</v>
      </c>
      <c r="P20" s="41">
        <f t="shared" si="1"/>
        <v>-10000</v>
      </c>
    </row>
    <row r="21" spans="1:16" x14ac:dyDescent="0.45">
      <c r="A21" s="12">
        <v>2036</v>
      </c>
      <c r="B21" s="26" t="s">
        <v>39</v>
      </c>
      <c r="C21" s="27" t="s">
        <v>41</v>
      </c>
      <c r="D21" s="2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45">
      <c r="A22" s="12">
        <v>2037</v>
      </c>
      <c r="B22" s="26" t="s">
        <v>39</v>
      </c>
      <c r="C22" s="27" t="s">
        <v>42</v>
      </c>
      <c r="D22" s="2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45">
      <c r="A23" s="12">
        <v>2038</v>
      </c>
      <c r="B23" s="26" t="s">
        <v>39</v>
      </c>
      <c r="C23" s="27" t="s">
        <v>43</v>
      </c>
      <c r="D23" s="2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45">
      <c r="A24" s="12">
        <v>2039</v>
      </c>
      <c r="B24" s="26" t="s">
        <v>39</v>
      </c>
      <c r="C24" s="27" t="s">
        <v>44</v>
      </c>
      <c r="D24" s="28"/>
      <c r="E24" s="50">
        <v>-10000</v>
      </c>
      <c r="F24" s="50">
        <v>-5000</v>
      </c>
      <c r="G24" s="50">
        <v>-5000</v>
      </c>
      <c r="H24" s="50">
        <v>-3000</v>
      </c>
      <c r="I24" s="50">
        <v>-1000</v>
      </c>
      <c r="J24" s="50">
        <v>-1000</v>
      </c>
      <c r="K24" s="50">
        <v>-5000</v>
      </c>
      <c r="L24" s="50">
        <v>-2500</v>
      </c>
      <c r="M24" s="50">
        <v>-2500</v>
      </c>
      <c r="N24" s="50">
        <v>-5000</v>
      </c>
      <c r="O24" s="50">
        <v>-10000</v>
      </c>
      <c r="P24" s="50">
        <v>-10000</v>
      </c>
    </row>
    <row r="25" spans="1:16" x14ac:dyDescent="0.45">
      <c r="A25" s="12">
        <v>2040</v>
      </c>
      <c r="B25" s="26" t="s">
        <v>39</v>
      </c>
      <c r="C25" s="27" t="s">
        <v>45</v>
      </c>
      <c r="D25" s="2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45">
      <c r="B26" s="26" t="s">
        <v>39</v>
      </c>
      <c r="C26" s="27" t="s">
        <v>46</v>
      </c>
      <c r="D26" s="2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45">
      <c r="B27" s="26" t="s">
        <v>39</v>
      </c>
      <c r="C27" s="27" t="s">
        <v>47</v>
      </c>
      <c r="D27" s="2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45">
      <c r="B28" s="26" t="s">
        <v>39</v>
      </c>
      <c r="C28" s="27" t="s">
        <v>48</v>
      </c>
      <c r="D28" s="2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45">
      <c r="B29" s="26" t="s">
        <v>39</v>
      </c>
      <c r="C29" s="27" t="s">
        <v>49</v>
      </c>
      <c r="D29" s="2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45">
      <c r="B30" s="26" t="s">
        <v>39</v>
      </c>
      <c r="C30" s="27" t="s">
        <v>50</v>
      </c>
      <c r="D30" s="2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45">
      <c r="B31" s="26" t="s">
        <v>39</v>
      </c>
      <c r="C31" s="27" t="s">
        <v>51</v>
      </c>
      <c r="D31" s="2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45">
      <c r="B32" s="26" t="s">
        <v>39</v>
      </c>
      <c r="C32" s="27" t="s">
        <v>52</v>
      </c>
      <c r="D32" s="2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7" x14ac:dyDescent="0.45">
      <c r="B33" s="26" t="s">
        <v>39</v>
      </c>
      <c r="C33" s="27" t="s">
        <v>53</v>
      </c>
      <c r="D33" s="2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7" s="31" customFormat="1" x14ac:dyDescent="0.45">
      <c r="A34" s="32"/>
      <c r="B34" s="23" t="s">
        <v>54</v>
      </c>
      <c r="C34" s="24" t="s">
        <v>55</v>
      </c>
      <c r="D34" s="25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7" s="31" customFormat="1" x14ac:dyDescent="0.45">
      <c r="A35" s="32"/>
      <c r="B35" s="23" t="s">
        <v>54</v>
      </c>
      <c r="C35" s="24" t="s">
        <v>68</v>
      </c>
      <c r="D35" s="25"/>
      <c r="E35" s="51">
        <v>0</v>
      </c>
      <c r="F35" s="41"/>
      <c r="G35" s="41"/>
      <c r="H35" s="41" cm="1">
        <f t="array" ref="H35">_xlfn.IFS('1 trim'!H34&gt;0,SUM('1 trim'!H35:'1 trim'!H36),'1 trim'!H34&lt;0,-SUM('1 trim'!H34,-'1 trim'!H35))</f>
        <v>0</v>
      </c>
      <c r="I35" s="41"/>
      <c r="J35" s="41"/>
      <c r="K35" s="41" cm="1">
        <f t="array" ref="K35">_xlfn.IFS('2 trim'!H34&gt;0,SUM('2 trim'!H35:'2 trim'!H36),'2 trim'!H34&lt;0,-SUM('2 trim'!H34,-'2 trim'!H35))</f>
        <v>40100</v>
      </c>
      <c r="L35" s="41"/>
      <c r="M35" s="41"/>
      <c r="N35" s="41" cm="1">
        <f t="array" ref="N35">_xlfn.IFS('3 trim'!H34&gt;0,SUM('3 trim'!H35:'3 trim'!H36),'3 trim'!H34&lt;0,-SUM('3 trim'!H34,-'3 trim'!H35))</f>
        <v>20240</v>
      </c>
      <c r="O35" s="41"/>
      <c r="P35" s="41"/>
      <c r="Q35" s="49" cm="1">
        <f t="array" ref="Q35">_xlfn.IFS('4 trim'!H34&gt;0,SUM('4 trim'!H35:'4 trim'!H36),'4 trim'!H34&lt;0,-SUM('4 trim'!H34,-'4 trim'!H35))</f>
        <v>0</v>
      </c>
    </row>
    <row r="36" spans="1:17" x14ac:dyDescent="0.45">
      <c r="B36" s="23" t="s">
        <v>11</v>
      </c>
      <c r="C36" s="24" t="s">
        <v>56</v>
      </c>
      <c r="D36" s="25">
        <v>0.3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7" x14ac:dyDescent="0.45">
      <c r="B37" s="23" t="s">
        <v>11</v>
      </c>
      <c r="C37" s="24" t="s">
        <v>57</v>
      </c>
      <c r="D37" s="25">
        <v>0.1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7" x14ac:dyDescent="0.45">
      <c r="B38" s="23" t="s">
        <v>11</v>
      </c>
      <c r="C38" s="24" t="s">
        <v>58</v>
      </c>
      <c r="D38" s="25">
        <v>0.15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7" x14ac:dyDescent="0.45">
      <c r="B39" s="23" t="s">
        <v>11</v>
      </c>
      <c r="C39" s="24" t="s">
        <v>59</v>
      </c>
      <c r="D39" s="25">
        <v>0.09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7" x14ac:dyDescent="0.45">
      <c r="B40" s="23" t="s">
        <v>54</v>
      </c>
      <c r="C40" s="24" t="s">
        <v>60</v>
      </c>
      <c r="D40" s="2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45">
      <c r="B41" s="26" t="s">
        <v>39</v>
      </c>
      <c r="C41" s="27" t="s">
        <v>61</v>
      </c>
      <c r="D41" s="28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7" x14ac:dyDescent="0.45">
      <c r="B42" s="26" t="s">
        <v>39</v>
      </c>
      <c r="C42" s="27" t="s">
        <v>62</v>
      </c>
      <c r="D42" s="2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7" x14ac:dyDescent="0.45">
      <c r="B43" s="26" t="s">
        <v>39</v>
      </c>
      <c r="C43" s="27" t="s">
        <v>63</v>
      </c>
      <c r="D43" s="28"/>
      <c r="E43" s="50">
        <v>-5000</v>
      </c>
      <c r="F43" s="50">
        <v>-5000</v>
      </c>
      <c r="G43" s="50">
        <v>-2000</v>
      </c>
      <c r="H43" s="50"/>
      <c r="I43" s="50"/>
      <c r="J43" s="50"/>
      <c r="K43" s="50">
        <v>-500</v>
      </c>
      <c r="L43" s="50">
        <v>-500</v>
      </c>
      <c r="M43" s="50">
        <v>-500</v>
      </c>
      <c r="N43" s="50"/>
      <c r="O43" s="50"/>
      <c r="P43" s="50"/>
    </row>
    <row r="44" spans="1:17" x14ac:dyDescent="0.45">
      <c r="B44" s="26" t="s">
        <v>39</v>
      </c>
      <c r="C44" s="27" t="s">
        <v>64</v>
      </c>
      <c r="D44" s="2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45">
      <c r="B45" s="26" t="s">
        <v>39</v>
      </c>
      <c r="C45" s="27" t="s">
        <v>65</v>
      </c>
      <c r="D45" s="2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45">
      <c r="B46" s="26" t="s">
        <v>39</v>
      </c>
      <c r="C46" s="27" t="s">
        <v>66</v>
      </c>
      <c r="D46" s="28"/>
      <c r="E46" s="50">
        <v>-3000</v>
      </c>
      <c r="F46" s="50">
        <v>-3000</v>
      </c>
      <c r="G46" s="50">
        <v>-1000</v>
      </c>
      <c r="H46" s="50"/>
      <c r="I46" s="50"/>
      <c r="J46" s="50"/>
      <c r="K46" s="50">
        <v>-400</v>
      </c>
      <c r="L46" s="50">
        <v>-200</v>
      </c>
      <c r="M46" s="50">
        <v>-200</v>
      </c>
      <c r="N46" s="50"/>
      <c r="O46" s="50"/>
      <c r="P46" s="50"/>
    </row>
    <row r="47" spans="1:17" x14ac:dyDescent="0.45">
      <c r="B47" s="26" t="s">
        <v>39</v>
      </c>
      <c r="C47" s="27" t="s">
        <v>67</v>
      </c>
      <c r="D47" s="2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7" x14ac:dyDescent="0.45">
      <c r="B48" s="23" t="s">
        <v>54</v>
      </c>
      <c r="C48" s="24" t="s">
        <v>70</v>
      </c>
      <c r="D48" s="25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2:16" x14ac:dyDescent="0.45">
      <c r="B49" s="23" t="s">
        <v>54</v>
      </c>
      <c r="C49" s="24" t="s">
        <v>71</v>
      </c>
      <c r="D49" s="25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</sheetData>
  <sheetProtection algorithmName="SHA-512" hashValue="pJE6Lrl0JVf7wUj5lD38UYBKmoJ5fwJUreTVmbeJIQMAMv/KjShcvaB6Aiix/DdTCq8+AruwkCSfLEp9DWE1GA==" saltValue="SMz+ZTnHVrdynVpAFVrb5A==" spinCount="100000" sheet="1" objects="1" scenarios="1" selectLockedCells="1"/>
  <dataValidations count="1">
    <dataValidation type="list" allowBlank="1" showInputMessage="1" showErrorMessage="1" sqref="B3" xr:uid="{1B4BA2DE-566B-4E74-AB29-31FC32562AD7}">
      <formula1>$A$5:$A$25</formula1>
    </dataValidation>
  </dataValidations>
  <hyperlinks>
    <hyperlink ref="A2" r:id="rId1" xr:uid="{30F533A0-036D-4AE6-A008-AAD332FE9F3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J51"/>
  <sheetViews>
    <sheetView showGridLines="0" zoomScaleNormal="100" workbookViewId="0">
      <pane ySplit="4" topLeftCell="A5" activePane="bottomLeft" state="frozen"/>
      <selection activeCell="C1" sqref="C1"/>
      <selection pane="bottomLeft" activeCell="B3" sqref="B3"/>
    </sheetView>
  </sheetViews>
  <sheetFormatPr defaultColWidth="9.1796875" defaultRowHeight="16" x14ac:dyDescent="0.45"/>
  <cols>
    <col min="1" max="1" width="3.7265625" style="12" customWidth="1"/>
    <col min="2" max="2" width="7.1796875" style="4" bestFit="1" customWidth="1"/>
    <col min="3" max="3" width="56.6328125" style="4" bestFit="1" customWidth="1"/>
    <col min="4" max="4" width="7.1796875" style="4" bestFit="1" customWidth="1"/>
    <col min="5" max="5" width="12.7265625" style="4" customWidth="1"/>
    <col min="6" max="8" width="11.90625" style="4" bestFit="1" customWidth="1"/>
    <col min="9" max="9" width="9.1796875" style="4"/>
    <col min="10" max="10" width="10.81640625" style="4" bestFit="1" customWidth="1"/>
    <col min="11" max="16384" width="9.1796875" style="4"/>
  </cols>
  <sheetData>
    <row r="1" spans="1:8" s="3" customFormat="1" ht="39" customHeight="1" x14ac:dyDescent="0.45">
      <c r="A1" s="11"/>
    </row>
    <row r="2" spans="1:8" x14ac:dyDescent="0.45">
      <c r="A2" s="13" t="s">
        <v>5</v>
      </c>
    </row>
    <row r="3" spans="1:8" ht="30" customHeight="1" thickBot="1" x14ac:dyDescent="0.5">
      <c r="B3" s="19">
        <f>tab!B3</f>
        <v>2025</v>
      </c>
    </row>
    <row r="4" spans="1:8" ht="16.5" thickTop="1" x14ac:dyDescent="0.45">
      <c r="B4" s="22" t="s">
        <v>9</v>
      </c>
      <c r="C4" s="22" t="s">
        <v>10</v>
      </c>
      <c r="D4" s="22" t="s">
        <v>11</v>
      </c>
      <c r="E4" s="22" t="s">
        <v>12</v>
      </c>
      <c r="F4" s="22" t="s">
        <v>13</v>
      </c>
      <c r="G4" s="22" t="s">
        <v>14</v>
      </c>
      <c r="H4" s="48">
        <v>1</v>
      </c>
    </row>
    <row r="5" spans="1:8" s="31" customFormat="1" x14ac:dyDescent="0.45">
      <c r="A5" s="30"/>
      <c r="B5" s="23" t="str">
        <f>tab!B5</f>
        <v>=</v>
      </c>
      <c r="C5" s="24" t="str">
        <f>tab!C5</f>
        <v>Lucro Acumulado</v>
      </c>
      <c r="D5" s="25"/>
      <c r="E5" s="41">
        <f>HLOOKUP(E$4,tab!$E$4:$P$33,MATCH($C5,$C$4:$C$33,0),0)</f>
        <v>40000</v>
      </c>
      <c r="F5" s="41">
        <f>HLOOKUP(F$4,tab!$E$4:$P$33,MATCH($C5,$C$4:$C$33,0),0)</f>
        <v>20000</v>
      </c>
      <c r="G5" s="41">
        <f>HLOOKUP(G$4,tab!$E$4:$P$33,MATCH($C5,$C$4:$C$33,0),0)</f>
        <v>20000</v>
      </c>
      <c r="H5" s="41">
        <f>SUM(E4:G5)</f>
        <v>80000</v>
      </c>
    </row>
    <row r="6" spans="1:8" s="31" customFormat="1" x14ac:dyDescent="0.45">
      <c r="A6" s="12"/>
      <c r="B6" s="23" t="str">
        <f>tab!B6</f>
        <v>=</v>
      </c>
      <c r="C6" s="24" t="str">
        <f>tab!C6</f>
        <v>Adições</v>
      </c>
      <c r="D6" s="25"/>
      <c r="E6" s="41">
        <f>SUM(E7:E19)</f>
        <v>2750</v>
      </c>
      <c r="F6" s="41">
        <f t="shared" ref="F6:G6" si="0">SUM(F7:F19)</f>
        <v>3000</v>
      </c>
      <c r="G6" s="41">
        <f t="shared" si="0"/>
        <v>1450</v>
      </c>
      <c r="H6" s="41">
        <f>SUM(E6:G6)</f>
        <v>7200</v>
      </c>
    </row>
    <row r="7" spans="1:8" x14ac:dyDescent="0.45">
      <c r="A7" s="30"/>
      <c r="B7" s="26" t="str">
        <f>tab!B7</f>
        <v>+</v>
      </c>
      <c r="C7" s="27" t="str">
        <f>tab!C7</f>
        <v>Ajustes Devedores de Qualquer Natureza</v>
      </c>
      <c r="D7" s="28"/>
      <c r="E7" s="42">
        <f>HLOOKUP(E$4,tab!$E$4:$P$33,MATCH($C7,$C$4:$C$33,0),0)</f>
        <v>0</v>
      </c>
      <c r="F7" s="42">
        <f>HLOOKUP(F$4,tab!$E$4:$P$33,MATCH($C7,$C$4:$C$33,0),0)</f>
        <v>0</v>
      </c>
      <c r="G7" s="42">
        <f>HLOOKUP(G$4,tab!$E$4:$P$33,MATCH($C7,$C$4:$C$33,0),0)</f>
        <v>0</v>
      </c>
      <c r="H7" s="42">
        <f>SUM(E7:G7)</f>
        <v>0</v>
      </c>
    </row>
    <row r="8" spans="1:8" x14ac:dyDescent="0.45">
      <c r="B8" s="26" t="str">
        <f>tab!B8</f>
        <v>+</v>
      </c>
      <c r="C8" s="27" t="str">
        <f>tab!C8</f>
        <v>Despesas de Variação Cambial</v>
      </c>
      <c r="D8" s="28"/>
      <c r="E8" s="42">
        <f>HLOOKUP(E$4,tab!$E$4:$P$33,MATCH($C8,$C$4:$C$33,0),0)</f>
        <v>0</v>
      </c>
      <c r="F8" s="42">
        <f>HLOOKUP(F$4,tab!$E$4:$P$33,MATCH($C8,$C$4:$C$33,0),0)</f>
        <v>0</v>
      </c>
      <c r="G8" s="42">
        <f>HLOOKUP(G$4,tab!$E$4:$P$33,MATCH($C8,$C$4:$C$33,0),0)</f>
        <v>0</v>
      </c>
      <c r="H8" s="42">
        <f t="shared" ref="H8:H19" si="1">SUM(E8:G8)</f>
        <v>0</v>
      </c>
    </row>
    <row r="9" spans="1:8" x14ac:dyDescent="0.45">
      <c r="A9" s="30"/>
      <c r="B9" s="26" t="str">
        <f>tab!B9</f>
        <v>+</v>
      </c>
      <c r="C9" s="27" t="str">
        <f>tab!C9</f>
        <v>Despesas Particulares dos Sócios e Dirigentes;</v>
      </c>
      <c r="D9" s="28"/>
      <c r="E9" s="42">
        <f>HLOOKUP(E$4,tab!$E$4:$P$33,MATCH($C9,$C$4:$C$33,0),0)</f>
        <v>300</v>
      </c>
      <c r="F9" s="42">
        <f>HLOOKUP(F$4,tab!$E$4:$P$33,MATCH($C9,$C$4:$C$33,0),0)</f>
        <v>300</v>
      </c>
      <c r="G9" s="42">
        <f>HLOOKUP(G$4,tab!$E$4:$P$33,MATCH($C9,$C$4:$C$33,0),0)</f>
        <v>100</v>
      </c>
      <c r="H9" s="42">
        <f t="shared" si="1"/>
        <v>700</v>
      </c>
    </row>
    <row r="10" spans="1:8" x14ac:dyDescent="0.45">
      <c r="B10" s="26" t="str">
        <f>tab!B10</f>
        <v>+</v>
      </c>
      <c r="C10" s="27" t="str">
        <f>tab!C10</f>
        <v>Doações e Brindes;</v>
      </c>
      <c r="D10" s="28"/>
      <c r="E10" s="42">
        <f>HLOOKUP(E$4,tab!$E$4:$P$33,MATCH($C10,$C$4:$C$33,0),0)</f>
        <v>2000</v>
      </c>
      <c r="F10" s="42">
        <f>HLOOKUP(F$4,tab!$E$4:$P$33,MATCH($C10,$C$4:$C$33,0),0)</f>
        <v>2000</v>
      </c>
      <c r="G10" s="42">
        <f>HLOOKUP(G$4,tab!$E$4:$P$33,MATCH($C10,$C$4:$C$33,0),0)</f>
        <v>1000</v>
      </c>
      <c r="H10" s="42">
        <f t="shared" si="1"/>
        <v>5000</v>
      </c>
    </row>
    <row r="11" spans="1:8" x14ac:dyDescent="0.45">
      <c r="A11" s="30"/>
      <c r="B11" s="26" t="str">
        <f>tab!B11</f>
        <v>+</v>
      </c>
      <c r="C11" s="27" t="str">
        <f>tab!C11</f>
        <v>Impostos Não Pagos em Discussão Judicial;</v>
      </c>
      <c r="D11" s="28"/>
      <c r="E11" s="42">
        <f>HLOOKUP(E$4,tab!$E$4:$P$33,MATCH($C11,$C$4:$C$33,0),0)</f>
        <v>0</v>
      </c>
      <c r="F11" s="42">
        <f>HLOOKUP(F$4,tab!$E$4:$P$33,MATCH($C11,$C$4:$C$33,0),0)</f>
        <v>0</v>
      </c>
      <c r="G11" s="42">
        <f>HLOOKUP(G$4,tab!$E$4:$P$33,MATCH($C11,$C$4:$C$33,0),0)</f>
        <v>0</v>
      </c>
      <c r="H11" s="42">
        <f t="shared" si="1"/>
        <v>0</v>
      </c>
    </row>
    <row r="12" spans="1:8" x14ac:dyDescent="0.45">
      <c r="B12" s="26" t="str">
        <f>tab!B12</f>
        <v>+</v>
      </c>
      <c r="C12" s="27" t="str">
        <f>tab!C12</f>
        <v>Impostos Não Pagos por Iniciativa da Empresa;</v>
      </c>
      <c r="D12" s="28"/>
      <c r="E12" s="42">
        <f>HLOOKUP(E$4,tab!$E$4:$P$33,MATCH($C12,$C$4:$C$33,0),0)</f>
        <v>0</v>
      </c>
      <c r="F12" s="42">
        <f>HLOOKUP(F$4,tab!$E$4:$P$33,MATCH($C12,$C$4:$C$33,0),0)</f>
        <v>0</v>
      </c>
      <c r="G12" s="42">
        <f>HLOOKUP(G$4,tab!$E$4:$P$33,MATCH($C12,$C$4:$C$33,0),0)</f>
        <v>0</v>
      </c>
      <c r="H12" s="42">
        <f t="shared" si="1"/>
        <v>0</v>
      </c>
    </row>
    <row r="13" spans="1:8" x14ac:dyDescent="0.45">
      <c r="A13" s="30"/>
      <c r="B13" s="26" t="str">
        <f>tab!B13</f>
        <v>+</v>
      </c>
      <c r="C13" s="27" t="str">
        <f>tab!C13</f>
        <v>Lucro Inflacionário apurado até 31/12/1995;</v>
      </c>
      <c r="D13" s="28"/>
      <c r="E13" s="42">
        <f>HLOOKUP(E$4,tab!$E$4:$P$33,MATCH($C13,$C$4:$C$33,0),0)</f>
        <v>0</v>
      </c>
      <c r="F13" s="42">
        <f>HLOOKUP(F$4,tab!$E$4:$P$33,MATCH($C13,$C$4:$C$33,0),0)</f>
        <v>0</v>
      </c>
      <c r="G13" s="42">
        <f>HLOOKUP(G$4,tab!$E$4:$P$33,MATCH($C13,$C$4:$C$33,0),0)</f>
        <v>0</v>
      </c>
      <c r="H13" s="42">
        <f t="shared" si="1"/>
        <v>0</v>
      </c>
    </row>
    <row r="14" spans="1:8" x14ac:dyDescent="0.45">
      <c r="B14" s="26" t="str">
        <f>tab!B14</f>
        <v>+</v>
      </c>
      <c r="C14" s="27" t="str">
        <f>tab!C14</f>
        <v>Multas Contratuais</v>
      </c>
      <c r="D14" s="28"/>
      <c r="E14" s="42">
        <f>HLOOKUP(E$4,tab!$E$4:$P$33,MATCH($C14,$C$4:$C$33,0),0)</f>
        <v>0</v>
      </c>
      <c r="F14" s="42">
        <f>HLOOKUP(F$4,tab!$E$4:$P$33,MATCH($C14,$C$4:$C$33,0),0)</f>
        <v>0</v>
      </c>
      <c r="G14" s="42">
        <f>HLOOKUP(G$4,tab!$E$4:$P$33,MATCH($C14,$C$4:$C$33,0),0)</f>
        <v>0</v>
      </c>
      <c r="H14" s="42">
        <f t="shared" si="1"/>
        <v>0</v>
      </c>
    </row>
    <row r="15" spans="1:8" x14ac:dyDescent="0.45">
      <c r="A15" s="30"/>
      <c r="B15" s="26" t="str">
        <f>tab!B15</f>
        <v>+</v>
      </c>
      <c r="C15" s="27" t="str">
        <f>tab!C15</f>
        <v>Multas Punitivas (Transito, Imetro, Ibama, Multas sobre ação fiscal)</v>
      </c>
      <c r="D15" s="28"/>
      <c r="E15" s="42">
        <f>HLOOKUP(E$4,tab!$E$4:$P$33,MATCH($C15,$C$4:$C$33,0),0)</f>
        <v>250</v>
      </c>
      <c r="F15" s="42">
        <f>HLOOKUP(F$4,tab!$E$4:$P$33,MATCH($C15,$C$4:$C$33,0),0)</f>
        <v>500</v>
      </c>
      <c r="G15" s="42">
        <f>HLOOKUP(G$4,tab!$E$4:$P$33,MATCH($C15,$C$4:$C$33,0),0)</f>
        <v>250</v>
      </c>
      <c r="H15" s="42">
        <f t="shared" si="1"/>
        <v>1000</v>
      </c>
    </row>
    <row r="16" spans="1:8" x14ac:dyDescent="0.45">
      <c r="B16" s="26" t="str">
        <f>tab!B16</f>
        <v>+</v>
      </c>
      <c r="C16" s="27" t="str">
        <f>tab!C16</f>
        <v>Orçamentos, Pedidos e qualquer documento não idôneo;</v>
      </c>
      <c r="D16" s="28"/>
      <c r="E16" s="42">
        <f>HLOOKUP(E$4,tab!$E$4:$P$33,MATCH($C16,$C$4:$C$33,0),0)</f>
        <v>0</v>
      </c>
      <c r="F16" s="42">
        <f>HLOOKUP(F$4,tab!$E$4:$P$33,MATCH($C16,$C$4:$C$33,0),0)</f>
        <v>0</v>
      </c>
      <c r="G16" s="42">
        <f>HLOOKUP(G$4,tab!$E$4:$P$33,MATCH($C16,$C$4:$C$33,0),0)</f>
        <v>0</v>
      </c>
      <c r="H16" s="42">
        <f t="shared" si="1"/>
        <v>0</v>
      </c>
    </row>
    <row r="17" spans="1:8" x14ac:dyDescent="0.45">
      <c r="A17" s="30"/>
      <c r="B17" s="26" t="str">
        <f>tab!B17</f>
        <v>+</v>
      </c>
      <c r="C17" s="27" t="str">
        <f>tab!C17</f>
        <v>Provisões Indedutíveis (perdas, frete, propaganda)</v>
      </c>
      <c r="D17" s="28"/>
      <c r="E17" s="42">
        <f>HLOOKUP(E$4,tab!$E$4:$P$33,MATCH($C17,$C$4:$C$33,0),0)</f>
        <v>200</v>
      </c>
      <c r="F17" s="42">
        <f>HLOOKUP(F$4,tab!$E$4:$P$33,MATCH($C17,$C$4:$C$33,0),0)</f>
        <v>200</v>
      </c>
      <c r="G17" s="42">
        <f>HLOOKUP(G$4,tab!$E$4:$P$33,MATCH($C17,$C$4:$C$33,0),0)</f>
        <v>100</v>
      </c>
      <c r="H17" s="42">
        <f t="shared" si="1"/>
        <v>500</v>
      </c>
    </row>
    <row r="18" spans="1:8" x14ac:dyDescent="0.45">
      <c r="B18" s="26" t="str">
        <f>tab!B18</f>
        <v>+</v>
      </c>
      <c r="C18" s="27" t="str">
        <f>tab!C18</f>
        <v>Recibos sem especificação da fonte recebedora;</v>
      </c>
      <c r="D18" s="28"/>
      <c r="E18" s="42">
        <f>HLOOKUP(E$4,tab!$E$4:$P$33,MATCH($C18,$C$4:$C$33,0),0)</f>
        <v>0</v>
      </c>
      <c r="F18" s="42">
        <f>HLOOKUP(F$4,tab!$E$4:$P$33,MATCH($C18,$C$4:$C$33,0),0)</f>
        <v>0</v>
      </c>
      <c r="G18" s="42">
        <f>HLOOKUP(G$4,tab!$E$4:$P$33,MATCH($C18,$C$4:$C$33,0),0)</f>
        <v>0</v>
      </c>
      <c r="H18" s="42">
        <f t="shared" si="1"/>
        <v>0</v>
      </c>
    </row>
    <row r="19" spans="1:8" x14ac:dyDescent="0.45">
      <c r="A19" s="30"/>
      <c r="B19" s="26" t="str">
        <f>tab!B19</f>
        <v>+</v>
      </c>
      <c r="C19" s="27" t="str">
        <f>tab!C19</f>
        <v>Verbas Rescisórias em desacordo com a legislação trabalhista vigente</v>
      </c>
      <c r="D19" s="28"/>
      <c r="E19" s="42">
        <f>HLOOKUP(E$4,tab!$E$4:$P$33,MATCH($C19,$C$4:$C$33,0),0)</f>
        <v>0</v>
      </c>
      <c r="F19" s="42">
        <f>HLOOKUP(F$4,tab!$E$4:$P$33,MATCH($C19,$C$4:$C$33,0),0)</f>
        <v>0</v>
      </c>
      <c r="G19" s="42">
        <f>HLOOKUP(G$4,tab!$E$4:$P$33,MATCH($C19,$C$4:$C$33,0),0)</f>
        <v>0</v>
      </c>
      <c r="H19" s="42">
        <f t="shared" si="1"/>
        <v>0</v>
      </c>
    </row>
    <row r="20" spans="1:8" s="31" customFormat="1" x14ac:dyDescent="0.45">
      <c r="A20" s="12"/>
      <c r="B20" s="23" t="str">
        <f>tab!B20</f>
        <v>=</v>
      </c>
      <c r="C20" s="24" t="str">
        <f>tab!C20</f>
        <v>Exclusões</v>
      </c>
      <c r="D20" s="25"/>
      <c r="E20" s="41">
        <f>SUM(E21:E33)</f>
        <v>-10000</v>
      </c>
      <c r="F20" s="41">
        <f t="shared" ref="F20:G20" si="2">SUM(F21:F33)</f>
        <v>-5000</v>
      </c>
      <c r="G20" s="41">
        <f t="shared" si="2"/>
        <v>-5000</v>
      </c>
      <c r="H20" s="41">
        <f t="shared" ref="H20" si="3">SUM(E19:G20)</f>
        <v>-20000</v>
      </c>
    </row>
    <row r="21" spans="1:8" x14ac:dyDescent="0.45">
      <c r="A21" s="30"/>
      <c r="B21" s="26" t="str">
        <f>tab!B21</f>
        <v>-</v>
      </c>
      <c r="C21" s="27" t="str">
        <f>tab!C21</f>
        <v>Ajustes credores de qualquer natureza</v>
      </c>
      <c r="D21" s="28"/>
      <c r="E21" s="42">
        <f>HLOOKUP(E$4,tab!$E$4:$P$33,MATCH($C21,$C$4:$C$33,0),0)</f>
        <v>0</v>
      </c>
      <c r="F21" s="42">
        <f>HLOOKUP(F$4,tab!$E$4:$P$33,MATCH($C21,$C$4:$C$33,0),0)</f>
        <v>0</v>
      </c>
      <c r="G21" s="42">
        <f>HLOOKUP(G$4,tab!$E$4:$P$33,MATCH($C21,$C$4:$C$33,0),0)</f>
        <v>0</v>
      </c>
      <c r="H21" s="42">
        <f>SUM(E21:G21)</f>
        <v>0</v>
      </c>
    </row>
    <row r="22" spans="1:8" x14ac:dyDescent="0.45">
      <c r="B22" s="26" t="str">
        <f>tab!B22</f>
        <v>-</v>
      </c>
      <c r="C22" s="27" t="str">
        <f>tab!C22</f>
        <v>Decisão Favorável - Processos Judiciais Tributários</v>
      </c>
      <c r="D22" s="28"/>
      <c r="E22" s="42">
        <f>HLOOKUP(E$4,tab!$E$4:$P$33,MATCH($C22,$C$4:$C$33,0),0)</f>
        <v>0</v>
      </c>
      <c r="F22" s="42">
        <f>HLOOKUP(F$4,tab!$E$4:$P$33,MATCH($C22,$C$4:$C$33,0),0)</f>
        <v>0</v>
      </c>
      <c r="G22" s="42">
        <f>HLOOKUP(G$4,tab!$E$4:$P$33,MATCH($C22,$C$4:$C$33,0),0)</f>
        <v>0</v>
      </c>
      <c r="H22" s="42">
        <f t="shared" ref="H22:H33" si="4">SUM(E22:G22)</f>
        <v>0</v>
      </c>
    </row>
    <row r="23" spans="1:8" x14ac:dyDescent="0.45">
      <c r="A23" s="30"/>
      <c r="B23" s="26" t="str">
        <f>tab!B23</f>
        <v>-</v>
      </c>
      <c r="C23" s="27" t="str">
        <f>tab!C23</f>
        <v>Despesas de Ágios</v>
      </c>
      <c r="D23" s="28"/>
      <c r="E23" s="42">
        <f>HLOOKUP(E$4,tab!$E$4:$P$33,MATCH($C23,$C$4:$C$33,0),0)</f>
        <v>0</v>
      </c>
      <c r="F23" s="42">
        <f>HLOOKUP(F$4,tab!$E$4:$P$33,MATCH($C23,$C$4:$C$33,0),0)</f>
        <v>0</v>
      </c>
      <c r="G23" s="42">
        <f>HLOOKUP(G$4,tab!$E$4:$P$33,MATCH($C23,$C$4:$C$33,0),0)</f>
        <v>0</v>
      </c>
      <c r="H23" s="42">
        <f t="shared" si="4"/>
        <v>0</v>
      </c>
    </row>
    <row r="24" spans="1:8" x14ac:dyDescent="0.45">
      <c r="B24" s="26" t="str">
        <f>tab!B24</f>
        <v>-</v>
      </c>
      <c r="C24" s="27" t="str">
        <f>tab!C24</f>
        <v>Distribuição de Lucros e Dividendos;</v>
      </c>
      <c r="D24" s="28"/>
      <c r="E24" s="42">
        <f>HLOOKUP(E$4,tab!$E$4:$P$33,MATCH($C24,$C$4:$C$33,0),0)</f>
        <v>-10000</v>
      </c>
      <c r="F24" s="42">
        <f>HLOOKUP(F$4,tab!$E$4:$P$33,MATCH($C24,$C$4:$C$33,0),0)</f>
        <v>-5000</v>
      </c>
      <c r="G24" s="42">
        <f>HLOOKUP(G$4,tab!$E$4:$P$33,MATCH($C24,$C$4:$C$33,0),0)</f>
        <v>-5000</v>
      </c>
      <c r="H24" s="42">
        <f t="shared" si="4"/>
        <v>-20000</v>
      </c>
    </row>
    <row r="25" spans="1:8" x14ac:dyDescent="0.45">
      <c r="A25" s="30"/>
      <c r="B25" s="26" t="str">
        <f>tab!B25</f>
        <v>-</v>
      </c>
      <c r="C25" s="27" t="str">
        <f>tab!C25</f>
        <v>Dividendos Coligadas e Controladas</v>
      </c>
      <c r="D25" s="28"/>
      <c r="E25" s="42">
        <f>HLOOKUP(E$4,tab!$E$4:$P$33,MATCH($C25,$C$4:$C$33,0),0)</f>
        <v>0</v>
      </c>
      <c r="F25" s="42">
        <f>HLOOKUP(F$4,tab!$E$4:$P$33,MATCH($C25,$C$4:$C$33,0),0)</f>
        <v>0</v>
      </c>
      <c r="G25" s="42">
        <f>HLOOKUP(G$4,tab!$E$4:$P$33,MATCH($C25,$C$4:$C$33,0),0)</f>
        <v>0</v>
      </c>
      <c r="H25" s="42">
        <f t="shared" si="4"/>
        <v>0</v>
      </c>
    </row>
    <row r="26" spans="1:8" x14ac:dyDescent="0.45">
      <c r="B26" s="26" t="str">
        <f>tab!B26</f>
        <v>-</v>
      </c>
      <c r="C26" s="27" t="str">
        <f>tab!C26</f>
        <v>Pagamento de Impostos em Atraso por iniciativa da Empresa</v>
      </c>
      <c r="D26" s="28"/>
      <c r="E26" s="42">
        <f>HLOOKUP(E$4,tab!$E$4:$P$33,MATCH($C26,$C$4:$C$33,0),0)</f>
        <v>0</v>
      </c>
      <c r="F26" s="42">
        <f>HLOOKUP(F$4,tab!$E$4:$P$33,MATCH($C26,$C$4:$C$33,0),0)</f>
        <v>0</v>
      </c>
      <c r="G26" s="42">
        <f>HLOOKUP(G$4,tab!$E$4:$P$33,MATCH($C26,$C$4:$C$33,0),0)</f>
        <v>0</v>
      </c>
      <c r="H26" s="42">
        <f t="shared" si="4"/>
        <v>0</v>
      </c>
    </row>
    <row r="27" spans="1:8" x14ac:dyDescent="0.45">
      <c r="B27" s="26" t="str">
        <f>tab!B27</f>
        <v>-</v>
      </c>
      <c r="C27" s="27" t="str">
        <f>tab!C27</f>
        <v>Pagamento de Impostos sobre discussão judicial,</v>
      </c>
      <c r="D27" s="28"/>
      <c r="E27" s="42">
        <f>HLOOKUP(E$4,tab!$E$4:$P$33,MATCH($C27,$C$4:$C$33,0),0)</f>
        <v>0</v>
      </c>
      <c r="F27" s="42">
        <f>HLOOKUP(F$4,tab!$E$4:$P$33,MATCH($C27,$C$4:$C$33,0),0)</f>
        <v>0</v>
      </c>
      <c r="G27" s="42">
        <f>HLOOKUP(G$4,tab!$E$4:$P$33,MATCH($C27,$C$4:$C$33,0),0)</f>
        <v>0</v>
      </c>
      <c r="H27" s="42">
        <f t="shared" si="4"/>
        <v>0</v>
      </c>
    </row>
    <row r="28" spans="1:8" x14ac:dyDescent="0.45">
      <c r="B28" s="26" t="str">
        <f>tab!B28</f>
        <v>-</v>
      </c>
      <c r="C28" s="27" t="str">
        <f>tab!C28</f>
        <v>Receita de Variação Cambial</v>
      </c>
      <c r="D28" s="28"/>
      <c r="E28" s="42">
        <f>HLOOKUP(E$4,tab!$E$4:$P$33,MATCH($C28,$C$4:$C$33,0),0)</f>
        <v>0</v>
      </c>
      <c r="F28" s="42">
        <f>HLOOKUP(F$4,tab!$E$4:$P$33,MATCH($C28,$C$4:$C$33,0),0)</f>
        <v>0</v>
      </c>
      <c r="G28" s="42">
        <f>HLOOKUP(G$4,tab!$E$4:$P$33,MATCH($C28,$C$4:$C$33,0),0)</f>
        <v>0</v>
      </c>
      <c r="H28" s="42">
        <f t="shared" si="4"/>
        <v>0</v>
      </c>
    </row>
    <row r="29" spans="1:8" x14ac:dyDescent="0.45">
      <c r="B29" s="26" t="str">
        <f>tab!B29</f>
        <v>-</v>
      </c>
      <c r="C29" s="27" t="str">
        <f>tab!C29</f>
        <v>Receitas Obtidas com Tributação Exclusiva ou Isenta de IR</v>
      </c>
      <c r="D29" s="28"/>
      <c r="E29" s="42">
        <f>HLOOKUP(E$4,tab!$E$4:$P$33,MATCH($C29,$C$4:$C$33,0),0)</f>
        <v>0</v>
      </c>
      <c r="F29" s="42">
        <f>HLOOKUP(F$4,tab!$E$4:$P$33,MATCH($C29,$C$4:$C$33,0),0)</f>
        <v>0</v>
      </c>
      <c r="G29" s="42">
        <f>HLOOKUP(G$4,tab!$E$4:$P$33,MATCH($C29,$C$4:$C$33,0),0)</f>
        <v>0</v>
      </c>
      <c r="H29" s="42">
        <f t="shared" si="4"/>
        <v>0</v>
      </c>
    </row>
    <row r="30" spans="1:8" x14ac:dyDescent="0.45">
      <c r="B30" s="26" t="str">
        <f>tab!B30</f>
        <v>-</v>
      </c>
      <c r="C30" s="27" t="str">
        <f>tab!C30</f>
        <v>Receitas que poderiam ser diferidas;</v>
      </c>
      <c r="D30" s="28"/>
      <c r="E30" s="42">
        <f>HLOOKUP(E$4,tab!$E$4:$P$33,MATCH($C30,$C$4:$C$33,0),0)</f>
        <v>0</v>
      </c>
      <c r="F30" s="42">
        <f>HLOOKUP(F$4,tab!$E$4:$P$33,MATCH($C30,$C$4:$C$33,0),0)</f>
        <v>0</v>
      </c>
      <c r="G30" s="42">
        <f>HLOOKUP(G$4,tab!$E$4:$P$33,MATCH($C30,$C$4:$C$33,0),0)</f>
        <v>0</v>
      </c>
      <c r="H30" s="42">
        <f t="shared" si="4"/>
        <v>0</v>
      </c>
    </row>
    <row r="31" spans="1:8" x14ac:dyDescent="0.45">
      <c r="B31" s="26" t="str">
        <f>tab!B31</f>
        <v>-</v>
      </c>
      <c r="C31" s="27" t="str">
        <f>tab!C31</f>
        <v>Resultado Positivo de Equivalência Patrimonial</v>
      </c>
      <c r="D31" s="28"/>
      <c r="E31" s="42">
        <f>HLOOKUP(E$4,tab!$E$4:$P$33,MATCH($C31,$C$4:$C$33,0),0)</f>
        <v>0</v>
      </c>
      <c r="F31" s="42">
        <f>HLOOKUP(F$4,tab!$E$4:$P$33,MATCH($C31,$C$4:$C$33,0),0)</f>
        <v>0</v>
      </c>
      <c r="G31" s="42">
        <f>HLOOKUP(G$4,tab!$E$4:$P$33,MATCH($C31,$C$4:$C$33,0),0)</f>
        <v>0</v>
      </c>
      <c r="H31" s="42">
        <f t="shared" si="4"/>
        <v>0</v>
      </c>
    </row>
    <row r="32" spans="1:8" x14ac:dyDescent="0.45">
      <c r="A32" s="30"/>
      <c r="B32" s="26" t="str">
        <f>tab!B32</f>
        <v>-</v>
      </c>
      <c r="C32" s="27" t="str">
        <f>tab!C32</f>
        <v>Reversão de Provisões Indedutíveis</v>
      </c>
      <c r="D32" s="28"/>
      <c r="E32" s="42">
        <f>HLOOKUP(E$4,tab!$E$4:$P$33,MATCH($C32,$C$4:$C$33,0),0)</f>
        <v>0</v>
      </c>
      <c r="F32" s="42">
        <f>HLOOKUP(F$4,tab!$E$4:$P$33,MATCH($C32,$C$4:$C$33,0),0)</f>
        <v>0</v>
      </c>
      <c r="G32" s="42">
        <f>HLOOKUP(G$4,tab!$E$4:$P$33,MATCH($C32,$C$4:$C$33,0),0)</f>
        <v>0</v>
      </c>
      <c r="H32" s="42">
        <f t="shared" si="4"/>
        <v>0</v>
      </c>
    </row>
    <row r="33" spans="1:10" x14ac:dyDescent="0.45">
      <c r="A33" s="30"/>
      <c r="B33" s="26" t="str">
        <f>tab!B33</f>
        <v>-</v>
      </c>
      <c r="C33" s="27" t="str">
        <f>tab!C33</f>
        <v>Vendas Não Expedidas do Período</v>
      </c>
      <c r="D33" s="28"/>
      <c r="E33" s="42">
        <f>HLOOKUP(E$4,tab!$E$4:$P$33,MATCH($C33,$C$4:$C$33,0),0)</f>
        <v>0</v>
      </c>
      <c r="F33" s="42">
        <f>HLOOKUP(F$4,tab!$E$4:$P$33,MATCH($C33,$C$4:$C$33,0),0)</f>
        <v>0</v>
      </c>
      <c r="G33" s="42">
        <f>HLOOKUP(G$4,tab!$E$4:$P$33,MATCH($C33,$C$4:$C$33,0),0)</f>
        <v>0</v>
      </c>
      <c r="H33" s="42">
        <f t="shared" si="4"/>
        <v>0</v>
      </c>
    </row>
    <row r="34" spans="1:10" s="31" customFormat="1" x14ac:dyDescent="0.45">
      <c r="A34" s="12"/>
      <c r="B34" s="23" t="str">
        <f>tab!B34</f>
        <v>=</v>
      </c>
      <c r="C34" s="24" t="str">
        <f>tab!C34</f>
        <v>Base de Cálculo</v>
      </c>
      <c r="D34" s="25"/>
      <c r="E34" s="41"/>
      <c r="F34" s="41"/>
      <c r="G34" s="41"/>
      <c r="H34" s="41">
        <f>SUM(H5,H6,H20)</f>
        <v>67200</v>
      </c>
      <c r="J34" s="49"/>
    </row>
    <row r="35" spans="1:10" s="31" customFormat="1" x14ac:dyDescent="0.45">
      <c r="A35" s="12"/>
      <c r="B35" s="23" t="str">
        <f>tab!B35</f>
        <v>=</v>
      </c>
      <c r="C35" s="24" t="str">
        <f>tab!C35</f>
        <v>Saldo Prejuízo Fiscal</v>
      </c>
      <c r="D35" s="25"/>
      <c r="E35" s="41"/>
      <c r="F35" s="41"/>
      <c r="G35" s="41"/>
      <c r="H35" s="41">
        <f>tab!E35</f>
        <v>0</v>
      </c>
    </row>
    <row r="36" spans="1:10" x14ac:dyDescent="0.45">
      <c r="B36" s="23" t="str">
        <f>tab!B36</f>
        <v>%</v>
      </c>
      <c r="C36" s="24" t="str">
        <f>tab!C36</f>
        <v>Compensação de Prejuízo Fiscal</v>
      </c>
      <c r="D36" s="25">
        <f>tab!D36</f>
        <v>0.3</v>
      </c>
      <c r="E36" s="41"/>
      <c r="F36" s="41"/>
      <c r="G36" s="41"/>
      <c r="H36" s="41">
        <f>-IF(AND(H34&gt;0,H35&gt;0,H34*$D$36&lt;H35),H34*$D$36,IF(AND(H34&gt;0,H34*$D$36&gt;H35),H35,0))</f>
        <v>0</v>
      </c>
    </row>
    <row r="37" spans="1:10" x14ac:dyDescent="0.45">
      <c r="B37" s="23" t="str">
        <f>tab!B37</f>
        <v>%</v>
      </c>
      <c r="C37" s="24" t="str">
        <f>tab!C37</f>
        <v>Adicional de Imposto de Renda</v>
      </c>
      <c r="D37" s="25">
        <f>tab!D37</f>
        <v>0.1</v>
      </c>
      <c r="E37" s="41"/>
      <c r="F37" s="41"/>
      <c r="G37" s="41"/>
      <c r="H37" s="41">
        <f>IF(SUM(H34,H36)&gt;60000,(SUM(H34,H36)-60000)*$D$37,0)</f>
        <v>720</v>
      </c>
    </row>
    <row r="38" spans="1:10" x14ac:dyDescent="0.45">
      <c r="B38" s="23" t="str">
        <f>tab!B38</f>
        <v>%</v>
      </c>
      <c r="C38" s="24" t="str">
        <f>tab!C38</f>
        <v>Imposto de Renda</v>
      </c>
      <c r="D38" s="25">
        <f>tab!D38</f>
        <v>0.15</v>
      </c>
      <c r="E38" s="41"/>
      <c r="F38" s="41"/>
      <c r="G38" s="41"/>
      <c r="H38" s="41">
        <f>IF(SUM(H34,H36)*$D$38&gt;0,SUM(H34,H36)*$D$38,0)</f>
        <v>10080</v>
      </c>
    </row>
    <row r="39" spans="1:10" x14ac:dyDescent="0.45">
      <c r="B39" s="23" t="str">
        <f>tab!B39</f>
        <v>%</v>
      </c>
      <c r="C39" s="24" t="str">
        <f>tab!C39</f>
        <v>Contribuição Social</v>
      </c>
      <c r="D39" s="25">
        <f>tab!D39</f>
        <v>0.09</v>
      </c>
      <c r="E39" s="41"/>
      <c r="F39" s="41"/>
      <c r="G39" s="41"/>
      <c r="H39" s="41">
        <f>IF(SUM(H34,H36)*$D$39&gt;0,SUM(H34,H36)*$D$39,0)</f>
        <v>6048</v>
      </c>
    </row>
    <row r="40" spans="1:10" x14ac:dyDescent="0.45">
      <c r="B40" s="23" t="str">
        <f>tab!B40</f>
        <v>=</v>
      </c>
      <c r="C40" s="24" t="str">
        <f>tab!C40</f>
        <v>Compensações</v>
      </c>
      <c r="D40" s="25"/>
      <c r="E40" s="41">
        <f>SUM(E42:E47)</f>
        <v>-8000</v>
      </c>
      <c r="F40" s="41">
        <f t="shared" ref="F40:G40" si="5">SUM(F42:F47)</f>
        <v>-8000</v>
      </c>
      <c r="G40" s="41">
        <f t="shared" si="5"/>
        <v>-3000</v>
      </c>
      <c r="H40" s="41">
        <f t="shared" ref="H40" si="6">SUM(H42:H47)</f>
        <v>-19000</v>
      </c>
    </row>
    <row r="41" spans="1:10" x14ac:dyDescent="0.45">
      <c r="B41" s="26" t="str">
        <f>tab!B41</f>
        <v>-</v>
      </c>
      <c r="C41" s="27" t="str">
        <f>tab!C41</f>
        <v>IR Base Negativa Exercícios Anteriores</v>
      </c>
      <c r="D41" s="33" t="str">
        <f>LEFT(C41,2)</f>
        <v>IR</v>
      </c>
      <c r="E41" s="42">
        <f>HLOOKUP(E$4,tab!$E$4:$P$49,MATCH($C41,$C$4:$C$49,0),0)</f>
        <v>0</v>
      </c>
      <c r="F41" s="42">
        <f>HLOOKUP(F$4,tab!$E$4:$P$49,MATCH($C41,$C$4:$C$49,0),0)</f>
        <v>0</v>
      </c>
      <c r="G41" s="42">
        <f>HLOOKUP(G$4,tab!$E$4:$P$49,MATCH($C41,$C$4:$C$49,0),0)</f>
        <v>0</v>
      </c>
      <c r="H41" s="42">
        <f>SUM(E41:G41)</f>
        <v>0</v>
      </c>
    </row>
    <row r="42" spans="1:10" x14ac:dyDescent="0.45">
      <c r="B42" s="26" t="str">
        <f>tab!B42</f>
        <v>-</v>
      </c>
      <c r="C42" s="27" t="str">
        <f>tab!C42</f>
        <v>IR s/ Aplicações Financeiras</v>
      </c>
      <c r="D42" s="33" t="str">
        <f t="shared" ref="D42:D47" si="7">LEFT(C42,2)</f>
        <v>IR</v>
      </c>
      <c r="E42" s="42">
        <f>HLOOKUP(E$4,tab!$E$4:$P$49,MATCH($C42,$C$4:$C$49,0),0)</f>
        <v>0</v>
      </c>
      <c r="F42" s="42">
        <f>HLOOKUP(F$4,tab!$E$4:$P$49,MATCH($C42,$C$4:$C$49,0),0)</f>
        <v>0</v>
      </c>
      <c r="G42" s="42">
        <f>HLOOKUP(G$4,tab!$E$4:$P$49,MATCH($C42,$C$4:$C$49,0),0)</f>
        <v>0</v>
      </c>
      <c r="H42" s="42">
        <f t="shared" ref="H42:H47" si="8">SUM(E42:G42)</f>
        <v>0</v>
      </c>
    </row>
    <row r="43" spans="1:10" x14ac:dyDescent="0.45">
      <c r="B43" s="26" t="str">
        <f>tab!B43</f>
        <v>-</v>
      </c>
      <c r="C43" s="27" t="str">
        <f>tab!C43</f>
        <v xml:space="preserve">IR Retida s/ Notas Fiscais </v>
      </c>
      <c r="D43" s="33" t="str">
        <f t="shared" si="7"/>
        <v>IR</v>
      </c>
      <c r="E43" s="42">
        <f>HLOOKUP(E$4,tab!$E$4:$P$49,MATCH($C43,$C$4:$C$49,0),0)</f>
        <v>-5000</v>
      </c>
      <c r="F43" s="42">
        <f>HLOOKUP(F$4,tab!$E$4:$P$49,MATCH($C43,$C$4:$C$49,0),0)</f>
        <v>-5000</v>
      </c>
      <c r="G43" s="42">
        <f>HLOOKUP(G$4,tab!$E$4:$P$49,MATCH($C43,$C$4:$C$49,0),0)</f>
        <v>-2000</v>
      </c>
      <c r="H43" s="42">
        <f t="shared" si="8"/>
        <v>-12000</v>
      </c>
    </row>
    <row r="44" spans="1:10" x14ac:dyDescent="0.45">
      <c r="B44" s="26" t="str">
        <f>tab!B44</f>
        <v>-</v>
      </c>
      <c r="C44" s="27" t="str">
        <f>tab!C44</f>
        <v>IR Pago no Exercício</v>
      </c>
      <c r="D44" s="33" t="str">
        <f t="shared" si="7"/>
        <v>IR</v>
      </c>
      <c r="E44" s="42">
        <f>HLOOKUP(E$4,tab!$E$4:$P$49,MATCH($C44,$C$4:$C$49,0),0)</f>
        <v>0</v>
      </c>
      <c r="F44" s="42">
        <f>HLOOKUP(F$4,tab!$E$4:$P$49,MATCH($C44,$C$4:$C$49,0),0)</f>
        <v>0</v>
      </c>
      <c r="G44" s="42">
        <f>HLOOKUP(G$4,tab!$E$4:$P$49,MATCH($C44,$C$4:$C$49,0),0)</f>
        <v>0</v>
      </c>
      <c r="H44" s="42">
        <f t="shared" si="8"/>
        <v>0</v>
      </c>
    </row>
    <row r="45" spans="1:10" x14ac:dyDescent="0.45">
      <c r="B45" s="26" t="str">
        <f>tab!B45</f>
        <v>-</v>
      </c>
      <c r="C45" s="27" t="str">
        <f>tab!C45</f>
        <v>CS Base Negativa Exercícios Anteriores</v>
      </c>
      <c r="D45" s="33" t="str">
        <f t="shared" si="7"/>
        <v>CS</v>
      </c>
      <c r="E45" s="42">
        <f>HLOOKUP(E$4,tab!$E$4:$P$49,MATCH($C45,$C$4:$C$49,0),0)</f>
        <v>0</v>
      </c>
      <c r="F45" s="42">
        <f>HLOOKUP(F$4,tab!$E$4:$P$49,MATCH($C45,$C$4:$C$49,0),0)</f>
        <v>0</v>
      </c>
      <c r="G45" s="42">
        <f>HLOOKUP(G$4,tab!$E$4:$P$49,MATCH($C45,$C$4:$C$49,0),0)</f>
        <v>0</v>
      </c>
      <c r="H45" s="42">
        <f t="shared" si="8"/>
        <v>0</v>
      </c>
    </row>
    <row r="46" spans="1:10" x14ac:dyDescent="0.45">
      <c r="B46" s="26" t="str">
        <f>tab!B46</f>
        <v>-</v>
      </c>
      <c r="C46" s="27" t="str">
        <f>tab!C46</f>
        <v>CS Retida s/ Notas Fiscais</v>
      </c>
      <c r="D46" s="33" t="str">
        <f t="shared" si="7"/>
        <v>CS</v>
      </c>
      <c r="E46" s="42">
        <f>HLOOKUP(E$4,tab!$E$4:$P$49,MATCH($C46,$C$4:$C$49,0),0)</f>
        <v>-3000</v>
      </c>
      <c r="F46" s="42">
        <f>HLOOKUP(F$4,tab!$E$4:$P$49,MATCH($C46,$C$4:$C$49,0),0)</f>
        <v>-3000</v>
      </c>
      <c r="G46" s="42">
        <f>HLOOKUP(G$4,tab!$E$4:$P$49,MATCH($C46,$C$4:$C$49,0),0)</f>
        <v>-1000</v>
      </c>
      <c r="H46" s="42">
        <f t="shared" si="8"/>
        <v>-7000</v>
      </c>
    </row>
    <row r="47" spans="1:10" x14ac:dyDescent="0.45">
      <c r="B47" s="26" t="str">
        <f>tab!B47</f>
        <v>-</v>
      </c>
      <c r="C47" s="27" t="str">
        <f>tab!C47</f>
        <v>CS Pago no Exercício</v>
      </c>
      <c r="D47" s="33" t="str">
        <f t="shared" si="7"/>
        <v>CS</v>
      </c>
      <c r="E47" s="42">
        <f>HLOOKUP(E$4,tab!$E$4:$P$49,MATCH($C47,$C$4:$C$49,0),0)</f>
        <v>0</v>
      </c>
      <c r="F47" s="42">
        <f>HLOOKUP(F$4,tab!$E$4:$P$49,MATCH($C47,$C$4:$C$49,0),0)</f>
        <v>0</v>
      </c>
      <c r="G47" s="42">
        <f>HLOOKUP(G$4,tab!$E$4:$P$49,MATCH($C47,$C$4:$C$49,0),0)</f>
        <v>0</v>
      </c>
      <c r="H47" s="42">
        <f t="shared" si="8"/>
        <v>0</v>
      </c>
    </row>
    <row r="48" spans="1:10" x14ac:dyDescent="0.45">
      <c r="B48" s="23" t="str">
        <f>tab!B48</f>
        <v>=</v>
      </c>
      <c r="C48" s="24" t="str">
        <f>tab!C48</f>
        <v>Imposto de Renda a Pagar</v>
      </c>
      <c r="D48" s="25"/>
      <c r="E48" s="41"/>
      <c r="F48" s="41"/>
      <c r="G48" s="41"/>
      <c r="H48" s="41">
        <f>IF(SUM(H37,H38,SUMIF(D41:D47,"IR",H$41:H$47))&gt;0,SUM(H37,H38,SUMIF(D41:D47,"IR",H$41:H$47)),0)</f>
        <v>0</v>
      </c>
    </row>
    <row r="49" spans="2:8" x14ac:dyDescent="0.45">
      <c r="B49" s="23" t="str">
        <f>tab!B49</f>
        <v>=</v>
      </c>
      <c r="C49" s="24" t="str">
        <f>tab!C49</f>
        <v>Contribuição Social a Pagar</v>
      </c>
      <c r="D49" s="25"/>
      <c r="E49" s="41"/>
      <c r="F49" s="41"/>
      <c r="G49" s="41"/>
      <c r="H49" s="41">
        <f>IF(SUM(H39,SUMIF($D$41:$D$47,"CS",H$41:H$47))&gt;0,SUM(H39,SUMIF($D$41:$D$47,"CS",H$41:H$47)),0)</f>
        <v>0</v>
      </c>
    </row>
    <row r="50" spans="2:8" x14ac:dyDescent="0.45">
      <c r="B50" s="29"/>
      <c r="C50" s="29"/>
      <c r="D50" s="29"/>
    </row>
    <row r="51" spans="2:8" x14ac:dyDescent="0.45">
      <c r="B51" s="29"/>
      <c r="C51" s="29"/>
      <c r="D51" s="29"/>
    </row>
  </sheetData>
  <sheetProtection algorithmName="SHA-512" hashValue="bopNBgcMRsv54H4CiXIJT8ZWZDGDngQGk+ebuG2mqn71EPpdw3+3H7Nntp4ir9ZE5yHvNDUUtbqbeY3wDYMHBg==" saltValue="2F2K8o3d/lsKzPNnCpSzsw==" spinCount="100000" sheet="1" objects="1" scenarios="1" selectLockedCells="1"/>
  <dataConsolidate/>
  <hyperlinks>
    <hyperlink ref="A2" r:id="rId1" xr:uid="{43EA20BB-D092-4759-9B95-6240DB545734}"/>
  </hyperlinks>
  <pageMargins left="0.25" right="0.25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CA6E-5B2C-480B-A199-A5EBFB8CB22B}">
  <sheetPr codeName="Planilha5"/>
  <dimension ref="A1:J51"/>
  <sheetViews>
    <sheetView showGridLines="0" zoomScaleNormal="100" workbookViewId="0">
      <pane ySplit="4" topLeftCell="A5" activePane="bottomLeft" state="frozen"/>
      <selection activeCell="C1" sqref="C1"/>
      <selection pane="bottomLeft" activeCell="B3" sqref="B3"/>
    </sheetView>
  </sheetViews>
  <sheetFormatPr defaultColWidth="9.1796875" defaultRowHeight="16" x14ac:dyDescent="0.45"/>
  <cols>
    <col min="1" max="1" width="3.7265625" style="12" customWidth="1"/>
    <col min="2" max="2" width="7.1796875" style="4" bestFit="1" customWidth="1"/>
    <col min="3" max="3" width="56.6328125" style="4" bestFit="1" customWidth="1"/>
    <col min="4" max="4" width="7.1796875" style="4" bestFit="1" customWidth="1"/>
    <col min="5" max="5" width="12.7265625" style="4" customWidth="1"/>
    <col min="6" max="8" width="11.90625" style="4" bestFit="1" customWidth="1"/>
    <col min="9" max="9" width="9.1796875" style="4"/>
    <col min="10" max="10" width="10.81640625" style="4" bestFit="1" customWidth="1"/>
    <col min="11" max="16384" width="9.1796875" style="4"/>
  </cols>
  <sheetData>
    <row r="1" spans="1:8" s="3" customFormat="1" ht="39" customHeight="1" x14ac:dyDescent="0.45">
      <c r="A1" s="11"/>
    </row>
    <row r="2" spans="1:8" x14ac:dyDescent="0.45">
      <c r="A2" s="13" t="s">
        <v>5</v>
      </c>
    </row>
    <row r="3" spans="1:8" ht="30" customHeight="1" thickBot="1" x14ac:dyDescent="0.5">
      <c r="B3" s="19">
        <f>tab!B3</f>
        <v>2025</v>
      </c>
    </row>
    <row r="4" spans="1:8" ht="16.5" thickTop="1" x14ac:dyDescent="0.45">
      <c r="B4" s="22" t="s">
        <v>9</v>
      </c>
      <c r="C4" s="22" t="s">
        <v>10</v>
      </c>
      <c r="D4" s="22" t="s">
        <v>11</v>
      </c>
      <c r="E4" s="22" t="s">
        <v>15</v>
      </c>
      <c r="F4" s="22" t="s">
        <v>16</v>
      </c>
      <c r="G4" s="22" t="s">
        <v>17</v>
      </c>
      <c r="H4" s="48">
        <v>2</v>
      </c>
    </row>
    <row r="5" spans="1:8" s="31" customFormat="1" x14ac:dyDescent="0.45">
      <c r="A5" s="30">
        <v>2020</v>
      </c>
      <c r="B5" s="23" t="str">
        <f>tab!B5</f>
        <v>=</v>
      </c>
      <c r="C5" s="24" t="str">
        <f>tab!C5</f>
        <v>Lucro Acumulado</v>
      </c>
      <c r="D5" s="25"/>
      <c r="E5" s="41">
        <f>HLOOKUP(E$4,tab!$E$4:$P$33,MATCH($C5,$C$4:$C$33,0),0)</f>
        <v>20000</v>
      </c>
      <c r="F5" s="41">
        <f>HLOOKUP(F$4,tab!$E$4:$P$33,MATCH($C5,$C$4:$C$33,0),0)</f>
        <v>-20000</v>
      </c>
      <c r="G5" s="41">
        <f>HLOOKUP(G$4,tab!$E$4:$P$33,MATCH($C5,$C$4:$C$33,0),0)</f>
        <v>-40000</v>
      </c>
      <c r="H5" s="41">
        <f>SUM(E4:G5)</f>
        <v>-40000</v>
      </c>
    </row>
    <row r="6" spans="1:8" s="31" customFormat="1" x14ac:dyDescent="0.45">
      <c r="A6" s="12">
        <v>2021</v>
      </c>
      <c r="B6" s="23" t="str">
        <f>tab!B6</f>
        <v>=</v>
      </c>
      <c r="C6" s="24" t="str">
        <f>tab!C6</f>
        <v>Adições</v>
      </c>
      <c r="D6" s="25"/>
      <c r="E6" s="41">
        <f>SUM(E7:E19)</f>
        <v>2500</v>
      </c>
      <c r="F6" s="41">
        <f t="shared" ref="F6:G6" si="0">SUM(F7:F19)</f>
        <v>1200</v>
      </c>
      <c r="G6" s="41">
        <f t="shared" si="0"/>
        <v>1200</v>
      </c>
      <c r="H6" s="41">
        <f>SUM(E6:G6)</f>
        <v>4900</v>
      </c>
    </row>
    <row r="7" spans="1:8" x14ac:dyDescent="0.45">
      <c r="A7" s="30">
        <v>2022</v>
      </c>
      <c r="B7" s="26" t="str">
        <f>tab!B7</f>
        <v>+</v>
      </c>
      <c r="C7" s="27" t="str">
        <f>tab!C7</f>
        <v>Ajustes Devedores de Qualquer Natureza</v>
      </c>
      <c r="D7" s="28"/>
      <c r="E7" s="42">
        <f>HLOOKUP(E$4,tab!$E$4:$P$33,MATCH($C7,$C$4:$C$33,0),0)</f>
        <v>0</v>
      </c>
      <c r="F7" s="42">
        <f>HLOOKUP(F$4,tab!$E$4:$P$33,MATCH($C7,$C$4:$C$33,0),0)</f>
        <v>0</v>
      </c>
      <c r="G7" s="42">
        <f>HLOOKUP(G$4,tab!$E$4:$P$33,MATCH($C7,$C$4:$C$33,0),0)</f>
        <v>0</v>
      </c>
      <c r="H7" s="42">
        <f>SUM(E7:G7)</f>
        <v>0</v>
      </c>
    </row>
    <row r="8" spans="1:8" x14ac:dyDescent="0.45">
      <c r="A8" s="12">
        <v>2023</v>
      </c>
      <c r="B8" s="26" t="str">
        <f>tab!B8</f>
        <v>+</v>
      </c>
      <c r="C8" s="27" t="str">
        <f>tab!C8</f>
        <v>Despesas de Variação Cambial</v>
      </c>
      <c r="D8" s="28"/>
      <c r="E8" s="42">
        <f>HLOOKUP(E$4,tab!$E$4:$P$33,MATCH($C8,$C$4:$C$33,0),0)</f>
        <v>0</v>
      </c>
      <c r="F8" s="42">
        <f>HLOOKUP(F$4,tab!$E$4:$P$33,MATCH($C8,$C$4:$C$33,0),0)</f>
        <v>0</v>
      </c>
      <c r="G8" s="42">
        <f>HLOOKUP(G$4,tab!$E$4:$P$33,MATCH($C8,$C$4:$C$33,0),0)</f>
        <v>0</v>
      </c>
      <c r="H8" s="42">
        <f t="shared" ref="H8:H19" si="1">SUM(E8:G8)</f>
        <v>0</v>
      </c>
    </row>
    <row r="9" spans="1:8" x14ac:dyDescent="0.45">
      <c r="A9" s="30">
        <v>2024</v>
      </c>
      <c r="B9" s="26" t="str">
        <f>tab!B9</f>
        <v>+</v>
      </c>
      <c r="C9" s="27" t="str">
        <f>tab!C9</f>
        <v>Despesas Particulares dos Sócios e Dirigentes;</v>
      </c>
      <c r="D9" s="28"/>
      <c r="E9" s="42">
        <f>HLOOKUP(E$4,tab!$E$4:$P$33,MATCH($C9,$C$4:$C$33,0),0)</f>
        <v>1000</v>
      </c>
      <c r="F9" s="42">
        <f>HLOOKUP(F$4,tab!$E$4:$P$33,MATCH($C9,$C$4:$C$33,0),0)</f>
        <v>100</v>
      </c>
      <c r="G9" s="42">
        <f>HLOOKUP(G$4,tab!$E$4:$P$33,MATCH($C9,$C$4:$C$33,0),0)</f>
        <v>100</v>
      </c>
      <c r="H9" s="42">
        <f t="shared" si="1"/>
        <v>1200</v>
      </c>
    </row>
    <row r="10" spans="1:8" x14ac:dyDescent="0.45">
      <c r="A10" s="12">
        <v>2025</v>
      </c>
      <c r="B10" s="26" t="str">
        <f>tab!B10</f>
        <v>+</v>
      </c>
      <c r="C10" s="27" t="str">
        <f>tab!C10</f>
        <v>Doações e Brindes;</v>
      </c>
      <c r="D10" s="28"/>
      <c r="E10" s="42">
        <f>HLOOKUP(E$4,tab!$E$4:$P$33,MATCH($C10,$C$4:$C$33,0),0)</f>
        <v>1000</v>
      </c>
      <c r="F10" s="42">
        <f>HLOOKUP(F$4,tab!$E$4:$P$33,MATCH($C10,$C$4:$C$33,0),0)</f>
        <v>1000</v>
      </c>
      <c r="G10" s="42">
        <f>HLOOKUP(G$4,tab!$E$4:$P$33,MATCH($C10,$C$4:$C$33,0),0)</f>
        <v>1000</v>
      </c>
      <c r="H10" s="42">
        <f t="shared" si="1"/>
        <v>3000</v>
      </c>
    </row>
    <row r="11" spans="1:8" x14ac:dyDescent="0.45">
      <c r="A11" s="30">
        <v>2026</v>
      </c>
      <c r="B11" s="26" t="str">
        <f>tab!B11</f>
        <v>+</v>
      </c>
      <c r="C11" s="27" t="str">
        <f>tab!C11</f>
        <v>Impostos Não Pagos em Discussão Judicial;</v>
      </c>
      <c r="D11" s="28"/>
      <c r="E11" s="42">
        <f>HLOOKUP(E$4,tab!$E$4:$P$33,MATCH($C11,$C$4:$C$33,0),0)</f>
        <v>0</v>
      </c>
      <c r="F11" s="42">
        <f>HLOOKUP(F$4,tab!$E$4:$P$33,MATCH($C11,$C$4:$C$33,0),0)</f>
        <v>0</v>
      </c>
      <c r="G11" s="42">
        <f>HLOOKUP(G$4,tab!$E$4:$P$33,MATCH($C11,$C$4:$C$33,0),0)</f>
        <v>0</v>
      </c>
      <c r="H11" s="42">
        <f t="shared" si="1"/>
        <v>0</v>
      </c>
    </row>
    <row r="12" spans="1:8" x14ac:dyDescent="0.45">
      <c r="A12" s="12">
        <v>2027</v>
      </c>
      <c r="B12" s="26" t="str">
        <f>tab!B12</f>
        <v>+</v>
      </c>
      <c r="C12" s="27" t="str">
        <f>tab!C12</f>
        <v>Impostos Não Pagos por Iniciativa da Empresa;</v>
      </c>
      <c r="D12" s="28"/>
      <c r="E12" s="42">
        <f>HLOOKUP(E$4,tab!$E$4:$P$33,MATCH($C12,$C$4:$C$33,0),0)</f>
        <v>0</v>
      </c>
      <c r="F12" s="42">
        <f>HLOOKUP(F$4,tab!$E$4:$P$33,MATCH($C12,$C$4:$C$33,0),0)</f>
        <v>0</v>
      </c>
      <c r="G12" s="42">
        <f>HLOOKUP(G$4,tab!$E$4:$P$33,MATCH($C12,$C$4:$C$33,0),0)</f>
        <v>0</v>
      </c>
      <c r="H12" s="42">
        <f t="shared" si="1"/>
        <v>0</v>
      </c>
    </row>
    <row r="13" spans="1:8" x14ac:dyDescent="0.45">
      <c r="A13" s="30">
        <v>2028</v>
      </c>
      <c r="B13" s="26" t="str">
        <f>tab!B13</f>
        <v>+</v>
      </c>
      <c r="C13" s="27" t="str">
        <f>tab!C13</f>
        <v>Lucro Inflacionário apurado até 31/12/1995;</v>
      </c>
      <c r="D13" s="28"/>
      <c r="E13" s="42">
        <f>HLOOKUP(E$4,tab!$E$4:$P$33,MATCH($C13,$C$4:$C$33,0),0)</f>
        <v>0</v>
      </c>
      <c r="F13" s="42">
        <f>HLOOKUP(F$4,tab!$E$4:$P$33,MATCH($C13,$C$4:$C$33,0),0)</f>
        <v>0</v>
      </c>
      <c r="G13" s="42">
        <f>HLOOKUP(G$4,tab!$E$4:$P$33,MATCH($C13,$C$4:$C$33,0),0)</f>
        <v>0</v>
      </c>
      <c r="H13" s="42">
        <f t="shared" si="1"/>
        <v>0</v>
      </c>
    </row>
    <row r="14" spans="1:8" x14ac:dyDescent="0.45">
      <c r="A14" s="12">
        <v>2029</v>
      </c>
      <c r="B14" s="26" t="str">
        <f>tab!B14</f>
        <v>+</v>
      </c>
      <c r="C14" s="27" t="str">
        <f>tab!C14</f>
        <v>Multas Contratuais</v>
      </c>
      <c r="D14" s="28"/>
      <c r="E14" s="42">
        <f>HLOOKUP(E$4,tab!$E$4:$P$33,MATCH($C14,$C$4:$C$33,0),0)</f>
        <v>0</v>
      </c>
      <c r="F14" s="42">
        <f>HLOOKUP(F$4,tab!$E$4:$P$33,MATCH($C14,$C$4:$C$33,0),0)</f>
        <v>0</v>
      </c>
      <c r="G14" s="42">
        <f>HLOOKUP(G$4,tab!$E$4:$P$33,MATCH($C14,$C$4:$C$33,0),0)</f>
        <v>0</v>
      </c>
      <c r="H14" s="42">
        <f t="shared" si="1"/>
        <v>0</v>
      </c>
    </row>
    <row r="15" spans="1:8" x14ac:dyDescent="0.45">
      <c r="A15" s="30">
        <v>2030</v>
      </c>
      <c r="B15" s="26" t="str">
        <f>tab!B15</f>
        <v>+</v>
      </c>
      <c r="C15" s="27" t="str">
        <f>tab!C15</f>
        <v>Multas Punitivas (Transito, Imetro, Ibama, Multas sobre ação fiscal)</v>
      </c>
      <c r="D15" s="28"/>
      <c r="E15" s="42">
        <f>HLOOKUP(E$4,tab!$E$4:$P$33,MATCH($C15,$C$4:$C$33,0),0)</f>
        <v>0</v>
      </c>
      <c r="F15" s="42">
        <f>HLOOKUP(F$4,tab!$E$4:$P$33,MATCH($C15,$C$4:$C$33,0),0)</f>
        <v>0</v>
      </c>
      <c r="G15" s="42">
        <f>HLOOKUP(G$4,tab!$E$4:$P$33,MATCH($C15,$C$4:$C$33,0),0)</f>
        <v>0</v>
      </c>
      <c r="H15" s="42">
        <f t="shared" si="1"/>
        <v>0</v>
      </c>
    </row>
    <row r="16" spans="1:8" x14ac:dyDescent="0.45">
      <c r="A16" s="12">
        <v>2031</v>
      </c>
      <c r="B16" s="26" t="str">
        <f>tab!B16</f>
        <v>+</v>
      </c>
      <c r="C16" s="27" t="str">
        <f>tab!C16</f>
        <v>Orçamentos, Pedidos e qualquer documento não idôneo;</v>
      </c>
      <c r="D16" s="28"/>
      <c r="E16" s="42">
        <f>HLOOKUP(E$4,tab!$E$4:$P$33,MATCH($C16,$C$4:$C$33,0),0)</f>
        <v>0</v>
      </c>
      <c r="F16" s="42">
        <f>HLOOKUP(F$4,tab!$E$4:$P$33,MATCH($C16,$C$4:$C$33,0),0)</f>
        <v>0</v>
      </c>
      <c r="G16" s="42">
        <f>HLOOKUP(G$4,tab!$E$4:$P$33,MATCH($C16,$C$4:$C$33,0),0)</f>
        <v>0</v>
      </c>
      <c r="H16" s="42">
        <f t="shared" si="1"/>
        <v>0</v>
      </c>
    </row>
    <row r="17" spans="1:8" x14ac:dyDescent="0.45">
      <c r="A17" s="30">
        <v>2032</v>
      </c>
      <c r="B17" s="26" t="str">
        <f>tab!B17</f>
        <v>+</v>
      </c>
      <c r="C17" s="27" t="str">
        <f>tab!C17</f>
        <v>Provisões Indedutíveis (perdas, frete, propaganda)</v>
      </c>
      <c r="D17" s="28"/>
      <c r="E17" s="42">
        <f>HLOOKUP(E$4,tab!$E$4:$P$33,MATCH($C17,$C$4:$C$33,0),0)</f>
        <v>500</v>
      </c>
      <c r="F17" s="42">
        <f>HLOOKUP(F$4,tab!$E$4:$P$33,MATCH($C17,$C$4:$C$33,0),0)</f>
        <v>100</v>
      </c>
      <c r="G17" s="42">
        <f>HLOOKUP(G$4,tab!$E$4:$P$33,MATCH($C17,$C$4:$C$33,0),0)</f>
        <v>100</v>
      </c>
      <c r="H17" s="42">
        <f t="shared" si="1"/>
        <v>700</v>
      </c>
    </row>
    <row r="18" spans="1:8" x14ac:dyDescent="0.45">
      <c r="A18" s="12">
        <v>2033</v>
      </c>
      <c r="B18" s="26" t="str">
        <f>tab!B18</f>
        <v>+</v>
      </c>
      <c r="C18" s="27" t="str">
        <f>tab!C18</f>
        <v>Recibos sem especificação da fonte recebedora;</v>
      </c>
      <c r="D18" s="28"/>
      <c r="E18" s="42">
        <f>HLOOKUP(E$4,tab!$E$4:$P$33,MATCH($C18,$C$4:$C$33,0),0)</f>
        <v>0</v>
      </c>
      <c r="F18" s="42">
        <f>HLOOKUP(F$4,tab!$E$4:$P$33,MATCH($C18,$C$4:$C$33,0),0)</f>
        <v>0</v>
      </c>
      <c r="G18" s="42">
        <f>HLOOKUP(G$4,tab!$E$4:$P$33,MATCH($C18,$C$4:$C$33,0),0)</f>
        <v>0</v>
      </c>
      <c r="H18" s="42">
        <f t="shared" si="1"/>
        <v>0</v>
      </c>
    </row>
    <row r="19" spans="1:8" x14ac:dyDescent="0.45">
      <c r="A19" s="30">
        <v>2034</v>
      </c>
      <c r="B19" s="26" t="str">
        <f>tab!B19</f>
        <v>+</v>
      </c>
      <c r="C19" s="27" t="str">
        <f>tab!C19</f>
        <v>Verbas Rescisórias em desacordo com a legislação trabalhista vigente</v>
      </c>
      <c r="D19" s="28"/>
      <c r="E19" s="42">
        <f>HLOOKUP(E$4,tab!$E$4:$P$33,MATCH($C19,$C$4:$C$33,0),0)</f>
        <v>0</v>
      </c>
      <c r="F19" s="42">
        <f>HLOOKUP(F$4,tab!$E$4:$P$33,MATCH($C19,$C$4:$C$33,0),0)</f>
        <v>0</v>
      </c>
      <c r="G19" s="42">
        <f>HLOOKUP(G$4,tab!$E$4:$P$33,MATCH($C19,$C$4:$C$33,0),0)</f>
        <v>0</v>
      </c>
      <c r="H19" s="42">
        <f t="shared" si="1"/>
        <v>0</v>
      </c>
    </row>
    <row r="20" spans="1:8" s="31" customFormat="1" x14ac:dyDescent="0.45">
      <c r="A20" s="12">
        <v>2035</v>
      </c>
      <c r="B20" s="23" t="str">
        <f>tab!B20</f>
        <v>=</v>
      </c>
      <c r="C20" s="24" t="str">
        <f>tab!C20</f>
        <v>Exclusões</v>
      </c>
      <c r="D20" s="25"/>
      <c r="E20" s="41">
        <f>SUM(E21:E33)</f>
        <v>-3000</v>
      </c>
      <c r="F20" s="41">
        <f t="shared" ref="F20:G20" si="2">SUM(F21:F33)</f>
        <v>-1000</v>
      </c>
      <c r="G20" s="41">
        <f t="shared" si="2"/>
        <v>-1000</v>
      </c>
      <c r="H20" s="41">
        <f t="shared" ref="H20" si="3">SUM(E19:G20)</f>
        <v>-5000</v>
      </c>
    </row>
    <row r="21" spans="1:8" x14ac:dyDescent="0.45">
      <c r="A21" s="30">
        <v>2036</v>
      </c>
      <c r="B21" s="26" t="str">
        <f>tab!B21</f>
        <v>-</v>
      </c>
      <c r="C21" s="27" t="str">
        <f>tab!C21</f>
        <v>Ajustes credores de qualquer natureza</v>
      </c>
      <c r="D21" s="28"/>
      <c r="E21" s="42">
        <f>HLOOKUP(E$4,tab!$E$4:$P$33,MATCH($C21,$C$4:$C$33,0),0)</f>
        <v>0</v>
      </c>
      <c r="F21" s="42">
        <f>HLOOKUP(F$4,tab!$E$4:$P$33,MATCH($C21,$C$4:$C$33,0),0)</f>
        <v>0</v>
      </c>
      <c r="G21" s="42">
        <f>HLOOKUP(G$4,tab!$E$4:$P$33,MATCH($C21,$C$4:$C$33,0),0)</f>
        <v>0</v>
      </c>
      <c r="H21" s="42">
        <f>SUM(E21:G21)</f>
        <v>0</v>
      </c>
    </row>
    <row r="22" spans="1:8" x14ac:dyDescent="0.45">
      <c r="A22" s="12">
        <v>2037</v>
      </c>
      <c r="B22" s="26" t="str">
        <f>tab!B22</f>
        <v>-</v>
      </c>
      <c r="C22" s="27" t="str">
        <f>tab!C22</f>
        <v>Decisão Favorável - Processos Judiciais Tributários</v>
      </c>
      <c r="D22" s="28"/>
      <c r="E22" s="42">
        <f>HLOOKUP(E$4,tab!$E$4:$P$33,MATCH($C22,$C$4:$C$33,0),0)</f>
        <v>0</v>
      </c>
      <c r="F22" s="42">
        <f>HLOOKUP(F$4,tab!$E$4:$P$33,MATCH($C22,$C$4:$C$33,0),0)</f>
        <v>0</v>
      </c>
      <c r="G22" s="42">
        <f>HLOOKUP(G$4,tab!$E$4:$P$33,MATCH($C22,$C$4:$C$33,0),0)</f>
        <v>0</v>
      </c>
      <c r="H22" s="42">
        <f t="shared" ref="H22:H33" si="4">SUM(E22:G22)</f>
        <v>0</v>
      </c>
    </row>
    <row r="23" spans="1:8" x14ac:dyDescent="0.45">
      <c r="A23" s="30">
        <v>2038</v>
      </c>
      <c r="B23" s="26" t="str">
        <f>tab!B23</f>
        <v>-</v>
      </c>
      <c r="C23" s="27" t="str">
        <f>tab!C23</f>
        <v>Despesas de Ágios</v>
      </c>
      <c r="D23" s="28"/>
      <c r="E23" s="42">
        <f>HLOOKUP(E$4,tab!$E$4:$P$33,MATCH($C23,$C$4:$C$33,0),0)</f>
        <v>0</v>
      </c>
      <c r="F23" s="42">
        <f>HLOOKUP(F$4,tab!$E$4:$P$33,MATCH($C23,$C$4:$C$33,0),0)</f>
        <v>0</v>
      </c>
      <c r="G23" s="42">
        <f>HLOOKUP(G$4,tab!$E$4:$P$33,MATCH($C23,$C$4:$C$33,0),0)</f>
        <v>0</v>
      </c>
      <c r="H23" s="42">
        <f t="shared" si="4"/>
        <v>0</v>
      </c>
    </row>
    <row r="24" spans="1:8" x14ac:dyDescent="0.45">
      <c r="A24" s="12">
        <v>2039</v>
      </c>
      <c r="B24" s="26" t="str">
        <f>tab!B24</f>
        <v>-</v>
      </c>
      <c r="C24" s="27" t="str">
        <f>tab!C24</f>
        <v>Distribuição de Lucros e Dividendos;</v>
      </c>
      <c r="D24" s="28"/>
      <c r="E24" s="42">
        <f>HLOOKUP(E$4,tab!$E$4:$P$33,MATCH($C24,$C$4:$C$33,0),0)</f>
        <v>-3000</v>
      </c>
      <c r="F24" s="42">
        <f>HLOOKUP(F$4,tab!$E$4:$P$33,MATCH($C24,$C$4:$C$33,0),0)</f>
        <v>-1000</v>
      </c>
      <c r="G24" s="42">
        <f>HLOOKUP(G$4,tab!$E$4:$P$33,MATCH($C24,$C$4:$C$33,0),0)</f>
        <v>-1000</v>
      </c>
      <c r="H24" s="42">
        <f t="shared" si="4"/>
        <v>-5000</v>
      </c>
    </row>
    <row r="25" spans="1:8" x14ac:dyDescent="0.45">
      <c r="A25" s="30">
        <v>2040</v>
      </c>
      <c r="B25" s="26" t="str">
        <f>tab!B25</f>
        <v>-</v>
      </c>
      <c r="C25" s="27" t="str">
        <f>tab!C25</f>
        <v>Dividendos Coligadas e Controladas</v>
      </c>
      <c r="D25" s="28"/>
      <c r="E25" s="42">
        <f>HLOOKUP(E$4,tab!$E$4:$P$33,MATCH($C25,$C$4:$C$33,0),0)</f>
        <v>0</v>
      </c>
      <c r="F25" s="42">
        <f>HLOOKUP(F$4,tab!$E$4:$P$33,MATCH($C25,$C$4:$C$33,0),0)</f>
        <v>0</v>
      </c>
      <c r="G25" s="42">
        <f>HLOOKUP(G$4,tab!$E$4:$P$33,MATCH($C25,$C$4:$C$33,0),0)</f>
        <v>0</v>
      </c>
      <c r="H25" s="42">
        <f t="shared" si="4"/>
        <v>0</v>
      </c>
    </row>
    <row r="26" spans="1:8" x14ac:dyDescent="0.45">
      <c r="B26" s="26" t="str">
        <f>tab!B26</f>
        <v>-</v>
      </c>
      <c r="C26" s="27" t="str">
        <f>tab!C26</f>
        <v>Pagamento de Impostos em Atraso por iniciativa da Empresa</v>
      </c>
      <c r="D26" s="28"/>
      <c r="E26" s="42">
        <f>HLOOKUP(E$4,tab!$E$4:$P$33,MATCH($C26,$C$4:$C$33,0),0)</f>
        <v>0</v>
      </c>
      <c r="F26" s="42">
        <f>HLOOKUP(F$4,tab!$E$4:$P$33,MATCH($C26,$C$4:$C$33,0),0)</f>
        <v>0</v>
      </c>
      <c r="G26" s="42">
        <f>HLOOKUP(G$4,tab!$E$4:$P$33,MATCH($C26,$C$4:$C$33,0),0)</f>
        <v>0</v>
      </c>
      <c r="H26" s="42">
        <f t="shared" si="4"/>
        <v>0</v>
      </c>
    </row>
    <row r="27" spans="1:8" x14ac:dyDescent="0.45">
      <c r="B27" s="26" t="str">
        <f>tab!B27</f>
        <v>-</v>
      </c>
      <c r="C27" s="27" t="str">
        <f>tab!C27</f>
        <v>Pagamento de Impostos sobre discussão judicial,</v>
      </c>
      <c r="D27" s="28"/>
      <c r="E27" s="42">
        <f>HLOOKUP(E$4,tab!$E$4:$P$33,MATCH($C27,$C$4:$C$33,0),0)</f>
        <v>0</v>
      </c>
      <c r="F27" s="42">
        <f>HLOOKUP(F$4,tab!$E$4:$P$33,MATCH($C27,$C$4:$C$33,0),0)</f>
        <v>0</v>
      </c>
      <c r="G27" s="42">
        <f>HLOOKUP(G$4,tab!$E$4:$P$33,MATCH($C27,$C$4:$C$33,0),0)</f>
        <v>0</v>
      </c>
      <c r="H27" s="42">
        <f t="shared" si="4"/>
        <v>0</v>
      </c>
    </row>
    <row r="28" spans="1:8" x14ac:dyDescent="0.45">
      <c r="B28" s="26" t="str">
        <f>tab!B28</f>
        <v>-</v>
      </c>
      <c r="C28" s="27" t="str">
        <f>tab!C28</f>
        <v>Receita de Variação Cambial</v>
      </c>
      <c r="D28" s="28"/>
      <c r="E28" s="42">
        <f>HLOOKUP(E$4,tab!$E$4:$P$33,MATCH($C28,$C$4:$C$33,0),0)</f>
        <v>0</v>
      </c>
      <c r="F28" s="42">
        <f>HLOOKUP(F$4,tab!$E$4:$P$33,MATCH($C28,$C$4:$C$33,0),0)</f>
        <v>0</v>
      </c>
      <c r="G28" s="42">
        <f>HLOOKUP(G$4,tab!$E$4:$P$33,MATCH($C28,$C$4:$C$33,0),0)</f>
        <v>0</v>
      </c>
      <c r="H28" s="42">
        <f t="shared" si="4"/>
        <v>0</v>
      </c>
    </row>
    <row r="29" spans="1:8" x14ac:dyDescent="0.45">
      <c r="B29" s="26" t="str">
        <f>tab!B29</f>
        <v>-</v>
      </c>
      <c r="C29" s="27" t="str">
        <f>tab!C29</f>
        <v>Receitas Obtidas com Tributação Exclusiva ou Isenta de IR</v>
      </c>
      <c r="D29" s="28"/>
      <c r="E29" s="42">
        <f>HLOOKUP(E$4,tab!$E$4:$P$33,MATCH($C29,$C$4:$C$33,0),0)</f>
        <v>0</v>
      </c>
      <c r="F29" s="42">
        <f>HLOOKUP(F$4,tab!$E$4:$P$33,MATCH($C29,$C$4:$C$33,0),0)</f>
        <v>0</v>
      </c>
      <c r="G29" s="42">
        <f>HLOOKUP(G$4,tab!$E$4:$P$33,MATCH($C29,$C$4:$C$33,0),0)</f>
        <v>0</v>
      </c>
      <c r="H29" s="42">
        <f t="shared" si="4"/>
        <v>0</v>
      </c>
    </row>
    <row r="30" spans="1:8" x14ac:dyDescent="0.45">
      <c r="B30" s="26" t="str">
        <f>tab!B30</f>
        <v>-</v>
      </c>
      <c r="C30" s="27" t="str">
        <f>tab!C30</f>
        <v>Receitas que poderiam ser diferidas;</v>
      </c>
      <c r="D30" s="28"/>
      <c r="E30" s="42">
        <f>HLOOKUP(E$4,tab!$E$4:$P$33,MATCH($C30,$C$4:$C$33,0),0)</f>
        <v>0</v>
      </c>
      <c r="F30" s="42">
        <f>HLOOKUP(F$4,tab!$E$4:$P$33,MATCH($C30,$C$4:$C$33,0),0)</f>
        <v>0</v>
      </c>
      <c r="G30" s="42">
        <f>HLOOKUP(G$4,tab!$E$4:$P$33,MATCH($C30,$C$4:$C$33,0),0)</f>
        <v>0</v>
      </c>
      <c r="H30" s="42">
        <f t="shared" si="4"/>
        <v>0</v>
      </c>
    </row>
    <row r="31" spans="1:8" x14ac:dyDescent="0.45">
      <c r="B31" s="26" t="str">
        <f>tab!B31</f>
        <v>-</v>
      </c>
      <c r="C31" s="27" t="str">
        <f>tab!C31</f>
        <v>Resultado Positivo de Equivalência Patrimonial</v>
      </c>
      <c r="D31" s="28"/>
      <c r="E31" s="42">
        <f>HLOOKUP(E$4,tab!$E$4:$P$33,MATCH($C31,$C$4:$C$33,0),0)</f>
        <v>0</v>
      </c>
      <c r="F31" s="42">
        <f>HLOOKUP(F$4,tab!$E$4:$P$33,MATCH($C31,$C$4:$C$33,0),0)</f>
        <v>0</v>
      </c>
      <c r="G31" s="42">
        <f>HLOOKUP(G$4,tab!$E$4:$P$33,MATCH($C31,$C$4:$C$33,0),0)</f>
        <v>0</v>
      </c>
      <c r="H31" s="42">
        <f t="shared" si="4"/>
        <v>0</v>
      </c>
    </row>
    <row r="32" spans="1:8" x14ac:dyDescent="0.45">
      <c r="A32" s="30"/>
      <c r="B32" s="26" t="str">
        <f>tab!B32</f>
        <v>-</v>
      </c>
      <c r="C32" s="27" t="str">
        <f>tab!C32</f>
        <v>Reversão de Provisões Indedutíveis</v>
      </c>
      <c r="D32" s="28"/>
      <c r="E32" s="42">
        <f>HLOOKUP(E$4,tab!$E$4:$P$33,MATCH($C32,$C$4:$C$33,0),0)</f>
        <v>0</v>
      </c>
      <c r="F32" s="42">
        <f>HLOOKUP(F$4,tab!$E$4:$P$33,MATCH($C32,$C$4:$C$33,0),0)</f>
        <v>0</v>
      </c>
      <c r="G32" s="42">
        <f>HLOOKUP(G$4,tab!$E$4:$P$33,MATCH($C32,$C$4:$C$33,0),0)</f>
        <v>0</v>
      </c>
      <c r="H32" s="42">
        <f t="shared" si="4"/>
        <v>0</v>
      </c>
    </row>
    <row r="33" spans="1:10" x14ac:dyDescent="0.45">
      <c r="A33" s="30"/>
      <c r="B33" s="26" t="str">
        <f>tab!B33</f>
        <v>-</v>
      </c>
      <c r="C33" s="27" t="str">
        <f>tab!C33</f>
        <v>Vendas Não Expedidas do Período</v>
      </c>
      <c r="D33" s="28"/>
      <c r="E33" s="42">
        <f>HLOOKUP(E$4,tab!$E$4:$P$33,MATCH($C33,$C$4:$C$33,0),0)</f>
        <v>0</v>
      </c>
      <c r="F33" s="42">
        <f>HLOOKUP(F$4,tab!$E$4:$P$33,MATCH($C33,$C$4:$C$33,0),0)</f>
        <v>0</v>
      </c>
      <c r="G33" s="42">
        <f>HLOOKUP(G$4,tab!$E$4:$P$33,MATCH($C33,$C$4:$C$33,0),0)</f>
        <v>0</v>
      </c>
      <c r="H33" s="42">
        <f t="shared" si="4"/>
        <v>0</v>
      </c>
    </row>
    <row r="34" spans="1:10" s="31" customFormat="1" x14ac:dyDescent="0.45">
      <c r="A34" s="12"/>
      <c r="B34" s="23" t="str">
        <f>tab!B34</f>
        <v>=</v>
      </c>
      <c r="C34" s="24" t="str">
        <f>tab!C34</f>
        <v>Base de Cálculo</v>
      </c>
      <c r="D34" s="25"/>
      <c r="E34" s="41"/>
      <c r="F34" s="41"/>
      <c r="G34" s="41"/>
      <c r="H34" s="41">
        <f>SUM(H5,H6,H20)</f>
        <v>-40100</v>
      </c>
      <c r="J34" s="49"/>
    </row>
    <row r="35" spans="1:10" s="31" customFormat="1" x14ac:dyDescent="0.45">
      <c r="A35" s="12"/>
      <c r="B35" s="23" t="str">
        <f>tab!B35</f>
        <v>=</v>
      </c>
      <c r="C35" s="24" t="str">
        <f>tab!C35</f>
        <v>Saldo Prejuízo Fiscal</v>
      </c>
      <c r="D35" s="25"/>
      <c r="E35" s="41"/>
      <c r="F35" s="41"/>
      <c r="G35" s="41"/>
      <c r="H35" s="41">
        <f>tab!H35</f>
        <v>0</v>
      </c>
    </row>
    <row r="36" spans="1:10" x14ac:dyDescent="0.45">
      <c r="B36" s="23" t="str">
        <f>tab!B36</f>
        <v>%</v>
      </c>
      <c r="C36" s="24" t="str">
        <f>tab!C36</f>
        <v>Compensação de Prejuízo Fiscal</v>
      </c>
      <c r="D36" s="25">
        <f>tab!D36</f>
        <v>0.3</v>
      </c>
      <c r="E36" s="41"/>
      <c r="F36" s="41"/>
      <c r="G36" s="41"/>
      <c r="H36" s="41">
        <f>-IF(AND(H34&gt;0,H35&gt;0,H34*$D$36&lt;H35),H34*$D$36,IF(AND(H34&gt;0,H34*$D$36&gt;H35),H35,0))</f>
        <v>0</v>
      </c>
    </row>
    <row r="37" spans="1:10" x14ac:dyDescent="0.45">
      <c r="B37" s="23" t="str">
        <f>tab!B37</f>
        <v>%</v>
      </c>
      <c r="C37" s="24" t="str">
        <f>tab!C37</f>
        <v>Adicional de Imposto de Renda</v>
      </c>
      <c r="D37" s="25">
        <f>tab!D37</f>
        <v>0.1</v>
      </c>
      <c r="E37" s="41"/>
      <c r="F37" s="41"/>
      <c r="G37" s="41"/>
      <c r="H37" s="41">
        <f>IF(SUM(H34,H36)&gt;60000,(SUM(H34,H36)-60000)*$D$37,0)</f>
        <v>0</v>
      </c>
    </row>
    <row r="38" spans="1:10" x14ac:dyDescent="0.45">
      <c r="B38" s="23" t="str">
        <f>tab!B38</f>
        <v>%</v>
      </c>
      <c r="C38" s="24" t="str">
        <f>tab!C38</f>
        <v>Imposto de Renda</v>
      </c>
      <c r="D38" s="25">
        <f>tab!D38</f>
        <v>0.15</v>
      </c>
      <c r="E38" s="41"/>
      <c r="F38" s="41"/>
      <c r="G38" s="41"/>
      <c r="H38" s="41">
        <f>IF(SUM(H34,H36)*$D$38&gt;0,SUM(H34,H36)*$D$38,0)</f>
        <v>0</v>
      </c>
    </row>
    <row r="39" spans="1:10" x14ac:dyDescent="0.45">
      <c r="B39" s="23" t="str">
        <f>tab!B39</f>
        <v>%</v>
      </c>
      <c r="C39" s="24" t="str">
        <f>tab!C39</f>
        <v>Contribuição Social</v>
      </c>
      <c r="D39" s="25">
        <f>tab!D39</f>
        <v>0.09</v>
      </c>
      <c r="E39" s="41"/>
      <c r="F39" s="41"/>
      <c r="G39" s="41"/>
      <c r="H39" s="41">
        <f>IF(SUM(H34,H36)*$D$39&gt;0,SUM(H34,H36)*$D$39,0)</f>
        <v>0</v>
      </c>
    </row>
    <row r="40" spans="1:10" x14ac:dyDescent="0.45">
      <c r="B40" s="23" t="str">
        <f>tab!B40</f>
        <v>=</v>
      </c>
      <c r="C40" s="24" t="str">
        <f>tab!C40</f>
        <v>Compensações</v>
      </c>
      <c r="D40" s="25"/>
      <c r="E40" s="41">
        <f>SUM(E42:E47)</f>
        <v>0</v>
      </c>
      <c r="F40" s="41">
        <f t="shared" ref="F40:H40" si="5">SUM(F42:F47)</f>
        <v>0</v>
      </c>
      <c r="G40" s="41">
        <f t="shared" si="5"/>
        <v>0</v>
      </c>
      <c r="H40" s="41">
        <f t="shared" si="5"/>
        <v>0</v>
      </c>
    </row>
    <row r="41" spans="1:10" x14ac:dyDescent="0.45">
      <c r="B41" s="26" t="str">
        <f>tab!B41</f>
        <v>-</v>
      </c>
      <c r="C41" s="27" t="str">
        <f>tab!C41</f>
        <v>IR Base Negativa Exercícios Anteriores</v>
      </c>
      <c r="D41" s="33" t="str">
        <f>LEFT(C41,2)</f>
        <v>IR</v>
      </c>
      <c r="E41" s="42">
        <f>HLOOKUP(E$4,tab!$E$4:$P$49,MATCH($C41,$C$4:$C$49,0),0)</f>
        <v>0</v>
      </c>
      <c r="F41" s="42">
        <f>HLOOKUP(F$4,tab!$E$4:$P$49,MATCH($C41,$C$4:$C$49,0),0)</f>
        <v>0</v>
      </c>
      <c r="G41" s="42">
        <f>HLOOKUP(G$4,tab!$E$4:$P$49,MATCH($C41,$C$4:$C$49,0),0)</f>
        <v>0</v>
      </c>
      <c r="H41" s="42">
        <f>SUM(E41:G41)</f>
        <v>0</v>
      </c>
    </row>
    <row r="42" spans="1:10" x14ac:dyDescent="0.45">
      <c r="B42" s="26" t="str">
        <f>tab!B42</f>
        <v>-</v>
      </c>
      <c r="C42" s="27" t="str">
        <f>tab!C42</f>
        <v>IR s/ Aplicações Financeiras</v>
      </c>
      <c r="D42" s="33" t="str">
        <f t="shared" ref="D42:D47" si="6">LEFT(C42,2)</f>
        <v>IR</v>
      </c>
      <c r="E42" s="42">
        <f>HLOOKUP(E$4,tab!$E$4:$P$49,MATCH($C42,$C$4:$C$49,0),0)</f>
        <v>0</v>
      </c>
      <c r="F42" s="42">
        <f>HLOOKUP(F$4,tab!$E$4:$P$49,MATCH($C42,$C$4:$C$49,0),0)</f>
        <v>0</v>
      </c>
      <c r="G42" s="42">
        <f>HLOOKUP(G$4,tab!$E$4:$P$49,MATCH($C42,$C$4:$C$49,0),0)</f>
        <v>0</v>
      </c>
      <c r="H42" s="42">
        <f t="shared" ref="H42:H47" si="7">SUM(E42:G42)</f>
        <v>0</v>
      </c>
    </row>
    <row r="43" spans="1:10" x14ac:dyDescent="0.45">
      <c r="B43" s="26" t="str">
        <f>tab!B43</f>
        <v>-</v>
      </c>
      <c r="C43" s="27" t="str">
        <f>tab!C43</f>
        <v xml:space="preserve">IR Retida s/ Notas Fiscais </v>
      </c>
      <c r="D43" s="33" t="str">
        <f t="shared" si="6"/>
        <v>IR</v>
      </c>
      <c r="E43" s="42">
        <f>HLOOKUP(E$4,tab!$E$4:$P$49,MATCH($C43,$C$4:$C$49,0),0)</f>
        <v>0</v>
      </c>
      <c r="F43" s="42">
        <f>HLOOKUP(F$4,tab!$E$4:$P$49,MATCH($C43,$C$4:$C$49,0),0)</f>
        <v>0</v>
      </c>
      <c r="G43" s="42">
        <f>HLOOKUP(G$4,tab!$E$4:$P$49,MATCH($C43,$C$4:$C$49,0),0)</f>
        <v>0</v>
      </c>
      <c r="H43" s="42">
        <f t="shared" si="7"/>
        <v>0</v>
      </c>
    </row>
    <row r="44" spans="1:10" x14ac:dyDescent="0.45">
      <c r="B44" s="26" t="str">
        <f>tab!B44</f>
        <v>-</v>
      </c>
      <c r="C44" s="27" t="str">
        <f>tab!C44</f>
        <v>IR Pago no Exercício</v>
      </c>
      <c r="D44" s="33" t="str">
        <f t="shared" si="6"/>
        <v>IR</v>
      </c>
      <c r="E44" s="42">
        <f>HLOOKUP(E$4,tab!$E$4:$P$49,MATCH($C44,$C$4:$C$49,0),0)</f>
        <v>0</v>
      </c>
      <c r="F44" s="42">
        <f>HLOOKUP(F$4,tab!$E$4:$P$49,MATCH($C44,$C$4:$C$49,0),0)</f>
        <v>0</v>
      </c>
      <c r="G44" s="42">
        <f>HLOOKUP(G$4,tab!$E$4:$P$49,MATCH($C44,$C$4:$C$49,0),0)</f>
        <v>0</v>
      </c>
      <c r="H44" s="42">
        <f t="shared" si="7"/>
        <v>0</v>
      </c>
    </row>
    <row r="45" spans="1:10" x14ac:dyDescent="0.45">
      <c r="B45" s="26" t="str">
        <f>tab!B45</f>
        <v>-</v>
      </c>
      <c r="C45" s="27" t="str">
        <f>tab!C45</f>
        <v>CS Base Negativa Exercícios Anteriores</v>
      </c>
      <c r="D45" s="33" t="str">
        <f t="shared" si="6"/>
        <v>CS</v>
      </c>
      <c r="E45" s="42">
        <f>HLOOKUP(E$4,tab!$E$4:$P$49,MATCH($C45,$C$4:$C$49,0),0)</f>
        <v>0</v>
      </c>
      <c r="F45" s="42">
        <f>HLOOKUP(F$4,tab!$E$4:$P$49,MATCH($C45,$C$4:$C$49,0),0)</f>
        <v>0</v>
      </c>
      <c r="G45" s="42">
        <f>HLOOKUP(G$4,tab!$E$4:$P$49,MATCH($C45,$C$4:$C$49,0),0)</f>
        <v>0</v>
      </c>
      <c r="H45" s="42">
        <f t="shared" si="7"/>
        <v>0</v>
      </c>
    </row>
    <row r="46" spans="1:10" x14ac:dyDescent="0.45">
      <c r="B46" s="26" t="str">
        <f>tab!B46</f>
        <v>-</v>
      </c>
      <c r="C46" s="27" t="str">
        <f>tab!C46</f>
        <v>CS Retida s/ Notas Fiscais</v>
      </c>
      <c r="D46" s="33" t="str">
        <f t="shared" si="6"/>
        <v>CS</v>
      </c>
      <c r="E46" s="42">
        <f>HLOOKUP(E$4,tab!$E$4:$P$49,MATCH($C46,$C$4:$C$49,0),0)</f>
        <v>0</v>
      </c>
      <c r="F46" s="42">
        <f>HLOOKUP(F$4,tab!$E$4:$P$49,MATCH($C46,$C$4:$C$49,0),0)</f>
        <v>0</v>
      </c>
      <c r="G46" s="42">
        <f>HLOOKUP(G$4,tab!$E$4:$P$49,MATCH($C46,$C$4:$C$49,0),0)</f>
        <v>0</v>
      </c>
      <c r="H46" s="42">
        <f t="shared" si="7"/>
        <v>0</v>
      </c>
    </row>
    <row r="47" spans="1:10" x14ac:dyDescent="0.45">
      <c r="B47" s="26" t="str">
        <f>tab!B47</f>
        <v>-</v>
      </c>
      <c r="C47" s="27" t="str">
        <f>tab!C47</f>
        <v>CS Pago no Exercício</v>
      </c>
      <c r="D47" s="33" t="str">
        <f t="shared" si="6"/>
        <v>CS</v>
      </c>
      <c r="E47" s="42">
        <f>HLOOKUP(E$4,tab!$E$4:$P$49,MATCH($C47,$C$4:$C$49,0),0)</f>
        <v>0</v>
      </c>
      <c r="F47" s="42">
        <f>HLOOKUP(F$4,tab!$E$4:$P$49,MATCH($C47,$C$4:$C$49,0),0)</f>
        <v>0</v>
      </c>
      <c r="G47" s="42">
        <f>HLOOKUP(G$4,tab!$E$4:$P$49,MATCH($C47,$C$4:$C$49,0),0)</f>
        <v>0</v>
      </c>
      <c r="H47" s="42">
        <f t="shared" si="7"/>
        <v>0</v>
      </c>
    </row>
    <row r="48" spans="1:10" x14ac:dyDescent="0.45">
      <c r="B48" s="23" t="str">
        <f>tab!B48</f>
        <v>=</v>
      </c>
      <c r="C48" s="24" t="str">
        <f>tab!C48</f>
        <v>Imposto de Renda a Pagar</v>
      </c>
      <c r="D48" s="25"/>
      <c r="E48" s="41"/>
      <c r="F48" s="41"/>
      <c r="G48" s="41"/>
      <c r="H48" s="41">
        <f>IF(SUM(H37,H38,SUMIF(D41:D47,"IR",H$41:H$47))&gt;0,SUM(H37,H38,SUMIF(D41:D47,"IR",H$41:H$47)),0)</f>
        <v>0</v>
      </c>
    </row>
    <row r="49" spans="2:8" x14ac:dyDescent="0.45">
      <c r="B49" s="23" t="str">
        <f>tab!B49</f>
        <v>=</v>
      </c>
      <c r="C49" s="24" t="str">
        <f>tab!C49</f>
        <v>Contribuição Social a Pagar</v>
      </c>
      <c r="D49" s="25"/>
      <c r="E49" s="41"/>
      <c r="F49" s="41"/>
      <c r="G49" s="41"/>
      <c r="H49" s="41">
        <f>IF(SUM(H39,SUMIF($D$41:$D$47,"CS",H$41:H$47))&gt;0,SUM(H39,SUMIF($D$41:$D$47,"CS",H$41:H$47)),0)</f>
        <v>0</v>
      </c>
    </row>
    <row r="50" spans="2:8" x14ac:dyDescent="0.45">
      <c r="B50" s="29"/>
      <c r="C50" s="29"/>
      <c r="D50" s="29"/>
    </row>
    <row r="51" spans="2:8" x14ac:dyDescent="0.45">
      <c r="B51" s="29"/>
      <c r="C51" s="29"/>
      <c r="D51" s="29"/>
    </row>
  </sheetData>
  <sheetProtection algorithmName="SHA-512" hashValue="hHeLrwIuDzywRqdn8MDzJYTqY9VUE6XHemqaJuaMO6P8od0gET33ztNpW+5dzQ7HAThTB8XAe1wg0p840sTWkg==" saltValue="VXeYCdY/S78BChit2EgCSA==" spinCount="100000" sheet="1" objects="1" scenarios="1" selectLockedCells="1"/>
  <dataConsolidate/>
  <hyperlinks>
    <hyperlink ref="A2" r:id="rId1" xr:uid="{BECE7135-A230-464C-8514-EBA64F362308}"/>
  </hyperlinks>
  <pageMargins left="0.25" right="0.25" top="0.75" bottom="0.75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91EA-EB4B-4925-AFD7-786F2D0FF8BF}">
  <sheetPr codeName="Planilha6"/>
  <dimension ref="A1:J51"/>
  <sheetViews>
    <sheetView showGridLines="0" zoomScaleNormal="100" workbookViewId="0">
      <pane ySplit="4" topLeftCell="A5" activePane="bottomLeft" state="frozen"/>
      <selection activeCell="C1" sqref="C1"/>
      <selection pane="bottomLeft" activeCell="B3" sqref="B3"/>
    </sheetView>
  </sheetViews>
  <sheetFormatPr defaultColWidth="9.1796875" defaultRowHeight="16" x14ac:dyDescent="0.45"/>
  <cols>
    <col min="1" max="1" width="3.7265625" style="12" customWidth="1"/>
    <col min="2" max="2" width="7.1796875" style="4" bestFit="1" customWidth="1"/>
    <col min="3" max="3" width="56.6328125" style="4" bestFit="1" customWidth="1"/>
    <col min="4" max="4" width="7.1796875" style="4" bestFit="1" customWidth="1"/>
    <col min="5" max="5" width="12.7265625" style="4" customWidth="1"/>
    <col min="6" max="8" width="11.90625" style="4" bestFit="1" customWidth="1"/>
    <col min="9" max="9" width="9.1796875" style="4"/>
    <col min="10" max="10" width="10.81640625" style="4" bestFit="1" customWidth="1"/>
    <col min="11" max="16384" width="9.1796875" style="4"/>
  </cols>
  <sheetData>
    <row r="1" spans="1:8" s="3" customFormat="1" ht="39" customHeight="1" x14ac:dyDescent="0.45">
      <c r="A1" s="11"/>
    </row>
    <row r="2" spans="1:8" x14ac:dyDescent="0.45">
      <c r="A2" s="13" t="s">
        <v>5</v>
      </c>
    </row>
    <row r="3" spans="1:8" ht="30" customHeight="1" thickBot="1" x14ac:dyDescent="0.5">
      <c r="B3" s="19">
        <f>tab!B3</f>
        <v>2025</v>
      </c>
    </row>
    <row r="4" spans="1:8" ht="16.5" thickTop="1" x14ac:dyDescent="0.45">
      <c r="B4" s="22" t="s">
        <v>9</v>
      </c>
      <c r="C4" s="22" t="s">
        <v>10</v>
      </c>
      <c r="D4" s="22" t="s">
        <v>11</v>
      </c>
      <c r="E4" s="22" t="s">
        <v>18</v>
      </c>
      <c r="F4" s="22" t="s">
        <v>19</v>
      </c>
      <c r="G4" s="22" t="s">
        <v>20</v>
      </c>
      <c r="H4" s="48">
        <v>3</v>
      </c>
    </row>
    <row r="5" spans="1:8" s="31" customFormat="1" x14ac:dyDescent="0.45">
      <c r="A5" s="30">
        <v>2020</v>
      </c>
      <c r="B5" s="23" t="str">
        <f>tab!B5</f>
        <v>=</v>
      </c>
      <c r="C5" s="24" t="str">
        <f>tab!C5</f>
        <v>Lucro Acumulado</v>
      </c>
      <c r="D5" s="25"/>
      <c r="E5" s="41">
        <f>HLOOKUP(E$4,tab!$E$4:$P$33,MATCH($C5,$C$4:$C$33,0),0)</f>
        <v>30000</v>
      </c>
      <c r="F5" s="41">
        <f>HLOOKUP(F$4,tab!$E$4:$P$33,MATCH($C5,$C$4:$C$33,0),0)</f>
        <v>30000</v>
      </c>
      <c r="G5" s="41">
        <f>HLOOKUP(G$4,tab!$E$4:$P$33,MATCH($C5,$C$4:$C$33,0),0)</f>
        <v>10000</v>
      </c>
      <c r="H5" s="41">
        <f>SUM(E4:G5)</f>
        <v>70000</v>
      </c>
    </row>
    <row r="6" spans="1:8" s="31" customFormat="1" x14ac:dyDescent="0.45">
      <c r="A6" s="12">
        <v>2021</v>
      </c>
      <c r="B6" s="23" t="str">
        <f>tab!B6</f>
        <v>=</v>
      </c>
      <c r="C6" s="24" t="str">
        <f>tab!C6</f>
        <v>Adições</v>
      </c>
      <c r="D6" s="25"/>
      <c r="E6" s="41">
        <f>SUM(E7:E19)</f>
        <v>2800</v>
      </c>
      <c r="F6" s="41">
        <f t="shared" ref="F6:G6" si="0">SUM(F7:F19)</f>
        <v>1600</v>
      </c>
      <c r="G6" s="41">
        <f t="shared" si="0"/>
        <v>1800</v>
      </c>
      <c r="H6" s="41">
        <f>SUM(E6:G6)</f>
        <v>6200</v>
      </c>
    </row>
    <row r="7" spans="1:8" x14ac:dyDescent="0.45">
      <c r="A7" s="30">
        <v>2022</v>
      </c>
      <c r="B7" s="26" t="str">
        <f>tab!B7</f>
        <v>+</v>
      </c>
      <c r="C7" s="27" t="str">
        <f>tab!C7</f>
        <v>Ajustes Devedores de Qualquer Natureza</v>
      </c>
      <c r="D7" s="28"/>
      <c r="E7" s="42">
        <f>HLOOKUP(E$4,tab!$E$4:$P$33,MATCH($C7,$C$4:$C$33,0),0)</f>
        <v>0</v>
      </c>
      <c r="F7" s="42">
        <f>HLOOKUP(F$4,tab!$E$4:$P$33,MATCH($C7,$C$4:$C$33,0),0)</f>
        <v>0</v>
      </c>
      <c r="G7" s="42">
        <f>HLOOKUP(G$4,tab!$E$4:$P$33,MATCH($C7,$C$4:$C$33,0),0)</f>
        <v>0</v>
      </c>
      <c r="H7" s="42">
        <f>SUM(E7:G7)</f>
        <v>0</v>
      </c>
    </row>
    <row r="8" spans="1:8" x14ac:dyDescent="0.45">
      <c r="A8" s="12">
        <v>2023</v>
      </c>
      <c r="B8" s="26" t="str">
        <f>tab!B8</f>
        <v>+</v>
      </c>
      <c r="C8" s="27" t="str">
        <f>tab!C8</f>
        <v>Despesas de Variação Cambial</v>
      </c>
      <c r="D8" s="28"/>
      <c r="E8" s="42">
        <f>HLOOKUP(E$4,tab!$E$4:$P$33,MATCH($C8,$C$4:$C$33,0),0)</f>
        <v>0</v>
      </c>
      <c r="F8" s="42">
        <f>HLOOKUP(F$4,tab!$E$4:$P$33,MATCH($C8,$C$4:$C$33,0),0)</f>
        <v>0</v>
      </c>
      <c r="G8" s="42">
        <f>HLOOKUP(G$4,tab!$E$4:$P$33,MATCH($C8,$C$4:$C$33,0),0)</f>
        <v>0</v>
      </c>
      <c r="H8" s="42">
        <f t="shared" ref="H8:H19" si="1">SUM(E8:G8)</f>
        <v>0</v>
      </c>
    </row>
    <row r="9" spans="1:8" x14ac:dyDescent="0.45">
      <c r="A9" s="30">
        <v>2024</v>
      </c>
      <c r="B9" s="26" t="str">
        <f>tab!B9</f>
        <v>+</v>
      </c>
      <c r="C9" s="27" t="str">
        <f>tab!C9</f>
        <v>Despesas Particulares dos Sócios e Dirigentes;</v>
      </c>
      <c r="D9" s="28"/>
      <c r="E9" s="42">
        <f>HLOOKUP(E$4,tab!$E$4:$P$33,MATCH($C9,$C$4:$C$33,0),0)</f>
        <v>400</v>
      </c>
      <c r="F9" s="42">
        <f>HLOOKUP(F$4,tab!$E$4:$P$33,MATCH($C9,$C$4:$C$33,0),0)</f>
        <v>400</v>
      </c>
      <c r="G9" s="42">
        <f>HLOOKUP(G$4,tab!$E$4:$P$33,MATCH($C9,$C$4:$C$33,0),0)</f>
        <v>100</v>
      </c>
      <c r="H9" s="42">
        <f t="shared" si="1"/>
        <v>900</v>
      </c>
    </row>
    <row r="10" spans="1:8" x14ac:dyDescent="0.45">
      <c r="A10" s="12">
        <v>2025</v>
      </c>
      <c r="B10" s="26" t="str">
        <f>tab!B10</f>
        <v>+</v>
      </c>
      <c r="C10" s="27" t="str">
        <f>tab!C10</f>
        <v>Doações e Brindes;</v>
      </c>
      <c r="D10" s="28"/>
      <c r="E10" s="42">
        <f>HLOOKUP(E$4,tab!$E$4:$P$33,MATCH($C10,$C$4:$C$33,0),0)</f>
        <v>2000</v>
      </c>
      <c r="F10" s="42">
        <f>HLOOKUP(F$4,tab!$E$4:$P$33,MATCH($C10,$C$4:$C$33,0),0)</f>
        <v>1000</v>
      </c>
      <c r="G10" s="42">
        <f>HLOOKUP(G$4,tab!$E$4:$P$33,MATCH($C10,$C$4:$C$33,0),0)</f>
        <v>1500</v>
      </c>
      <c r="H10" s="42">
        <f t="shared" si="1"/>
        <v>4500</v>
      </c>
    </row>
    <row r="11" spans="1:8" x14ac:dyDescent="0.45">
      <c r="A11" s="30">
        <v>2026</v>
      </c>
      <c r="B11" s="26" t="str">
        <f>tab!B11</f>
        <v>+</v>
      </c>
      <c r="C11" s="27" t="str">
        <f>tab!C11</f>
        <v>Impostos Não Pagos em Discussão Judicial;</v>
      </c>
      <c r="D11" s="28"/>
      <c r="E11" s="42">
        <f>HLOOKUP(E$4,tab!$E$4:$P$33,MATCH($C11,$C$4:$C$33,0),0)</f>
        <v>0</v>
      </c>
      <c r="F11" s="42">
        <f>HLOOKUP(F$4,tab!$E$4:$P$33,MATCH($C11,$C$4:$C$33,0),0)</f>
        <v>0</v>
      </c>
      <c r="G11" s="42">
        <f>HLOOKUP(G$4,tab!$E$4:$P$33,MATCH($C11,$C$4:$C$33,0),0)</f>
        <v>0</v>
      </c>
      <c r="H11" s="42">
        <f t="shared" si="1"/>
        <v>0</v>
      </c>
    </row>
    <row r="12" spans="1:8" x14ac:dyDescent="0.45">
      <c r="A12" s="12">
        <v>2027</v>
      </c>
      <c r="B12" s="26" t="str">
        <f>tab!B12</f>
        <v>+</v>
      </c>
      <c r="C12" s="27" t="str">
        <f>tab!C12</f>
        <v>Impostos Não Pagos por Iniciativa da Empresa;</v>
      </c>
      <c r="D12" s="28"/>
      <c r="E12" s="42">
        <f>HLOOKUP(E$4,tab!$E$4:$P$33,MATCH($C12,$C$4:$C$33,0),0)</f>
        <v>0</v>
      </c>
      <c r="F12" s="42">
        <f>HLOOKUP(F$4,tab!$E$4:$P$33,MATCH($C12,$C$4:$C$33,0),0)</f>
        <v>0</v>
      </c>
      <c r="G12" s="42">
        <f>HLOOKUP(G$4,tab!$E$4:$P$33,MATCH($C12,$C$4:$C$33,0),0)</f>
        <v>0</v>
      </c>
      <c r="H12" s="42">
        <f t="shared" si="1"/>
        <v>0</v>
      </c>
    </row>
    <row r="13" spans="1:8" x14ac:dyDescent="0.45">
      <c r="A13" s="30">
        <v>2028</v>
      </c>
      <c r="B13" s="26" t="str">
        <f>tab!B13</f>
        <v>+</v>
      </c>
      <c r="C13" s="27" t="str">
        <f>tab!C13</f>
        <v>Lucro Inflacionário apurado até 31/12/1995;</v>
      </c>
      <c r="D13" s="28"/>
      <c r="E13" s="42">
        <f>HLOOKUP(E$4,tab!$E$4:$P$33,MATCH($C13,$C$4:$C$33,0),0)</f>
        <v>0</v>
      </c>
      <c r="F13" s="42">
        <f>HLOOKUP(F$4,tab!$E$4:$P$33,MATCH($C13,$C$4:$C$33,0),0)</f>
        <v>0</v>
      </c>
      <c r="G13" s="42">
        <f>HLOOKUP(G$4,tab!$E$4:$P$33,MATCH($C13,$C$4:$C$33,0),0)</f>
        <v>0</v>
      </c>
      <c r="H13" s="42">
        <f t="shared" si="1"/>
        <v>0</v>
      </c>
    </row>
    <row r="14" spans="1:8" x14ac:dyDescent="0.45">
      <c r="A14" s="12">
        <v>2029</v>
      </c>
      <c r="B14" s="26" t="str">
        <f>tab!B14</f>
        <v>+</v>
      </c>
      <c r="C14" s="27" t="str">
        <f>tab!C14</f>
        <v>Multas Contratuais</v>
      </c>
      <c r="D14" s="28"/>
      <c r="E14" s="42">
        <f>HLOOKUP(E$4,tab!$E$4:$P$33,MATCH($C14,$C$4:$C$33,0),0)</f>
        <v>0</v>
      </c>
      <c r="F14" s="42">
        <f>HLOOKUP(F$4,tab!$E$4:$P$33,MATCH($C14,$C$4:$C$33,0),0)</f>
        <v>0</v>
      </c>
      <c r="G14" s="42">
        <f>HLOOKUP(G$4,tab!$E$4:$P$33,MATCH($C14,$C$4:$C$33,0),0)</f>
        <v>0</v>
      </c>
      <c r="H14" s="42">
        <f t="shared" si="1"/>
        <v>0</v>
      </c>
    </row>
    <row r="15" spans="1:8" x14ac:dyDescent="0.45">
      <c r="A15" s="30">
        <v>2030</v>
      </c>
      <c r="B15" s="26" t="str">
        <f>tab!B15</f>
        <v>+</v>
      </c>
      <c r="C15" s="27" t="str">
        <f>tab!C15</f>
        <v>Multas Punitivas (Transito, Imetro, Ibama, Multas sobre ação fiscal)</v>
      </c>
      <c r="D15" s="28"/>
      <c r="E15" s="42">
        <f>HLOOKUP(E$4,tab!$E$4:$P$33,MATCH($C15,$C$4:$C$33,0),0)</f>
        <v>200</v>
      </c>
      <c r="F15" s="42">
        <f>HLOOKUP(F$4,tab!$E$4:$P$33,MATCH($C15,$C$4:$C$33,0),0)</f>
        <v>0</v>
      </c>
      <c r="G15" s="42">
        <f>HLOOKUP(G$4,tab!$E$4:$P$33,MATCH($C15,$C$4:$C$33,0),0)</f>
        <v>0</v>
      </c>
      <c r="H15" s="42">
        <f t="shared" si="1"/>
        <v>200</v>
      </c>
    </row>
    <row r="16" spans="1:8" x14ac:dyDescent="0.45">
      <c r="A16" s="12">
        <v>2031</v>
      </c>
      <c r="B16" s="26" t="str">
        <f>tab!B16</f>
        <v>+</v>
      </c>
      <c r="C16" s="27" t="str">
        <f>tab!C16</f>
        <v>Orçamentos, Pedidos e qualquer documento não idôneo;</v>
      </c>
      <c r="D16" s="28"/>
      <c r="E16" s="42">
        <f>HLOOKUP(E$4,tab!$E$4:$P$33,MATCH($C16,$C$4:$C$33,0),0)</f>
        <v>0</v>
      </c>
      <c r="F16" s="42">
        <f>HLOOKUP(F$4,tab!$E$4:$P$33,MATCH($C16,$C$4:$C$33,0),0)</f>
        <v>0</v>
      </c>
      <c r="G16" s="42">
        <f>HLOOKUP(G$4,tab!$E$4:$P$33,MATCH($C16,$C$4:$C$33,0),0)</f>
        <v>0</v>
      </c>
      <c r="H16" s="42">
        <f t="shared" si="1"/>
        <v>0</v>
      </c>
    </row>
    <row r="17" spans="1:8" x14ac:dyDescent="0.45">
      <c r="A17" s="30">
        <v>2032</v>
      </c>
      <c r="B17" s="26" t="str">
        <f>tab!B17</f>
        <v>+</v>
      </c>
      <c r="C17" s="27" t="str">
        <f>tab!C17</f>
        <v>Provisões Indedutíveis (perdas, frete, propaganda)</v>
      </c>
      <c r="D17" s="28"/>
      <c r="E17" s="42">
        <f>HLOOKUP(E$4,tab!$E$4:$P$33,MATCH($C17,$C$4:$C$33,0),0)</f>
        <v>200</v>
      </c>
      <c r="F17" s="42">
        <f>HLOOKUP(F$4,tab!$E$4:$P$33,MATCH($C17,$C$4:$C$33,0),0)</f>
        <v>200</v>
      </c>
      <c r="G17" s="42">
        <f>HLOOKUP(G$4,tab!$E$4:$P$33,MATCH($C17,$C$4:$C$33,0),0)</f>
        <v>200</v>
      </c>
      <c r="H17" s="42">
        <f t="shared" si="1"/>
        <v>600</v>
      </c>
    </row>
    <row r="18" spans="1:8" x14ac:dyDescent="0.45">
      <c r="A18" s="12">
        <v>2033</v>
      </c>
      <c r="B18" s="26" t="str">
        <f>tab!B18</f>
        <v>+</v>
      </c>
      <c r="C18" s="27" t="str">
        <f>tab!C18</f>
        <v>Recibos sem especificação da fonte recebedora;</v>
      </c>
      <c r="D18" s="28"/>
      <c r="E18" s="42">
        <f>HLOOKUP(E$4,tab!$E$4:$P$33,MATCH($C18,$C$4:$C$33,0),0)</f>
        <v>0</v>
      </c>
      <c r="F18" s="42">
        <f>HLOOKUP(F$4,tab!$E$4:$P$33,MATCH($C18,$C$4:$C$33,0),0)</f>
        <v>0</v>
      </c>
      <c r="G18" s="42">
        <f>HLOOKUP(G$4,tab!$E$4:$P$33,MATCH($C18,$C$4:$C$33,0),0)</f>
        <v>0</v>
      </c>
      <c r="H18" s="42">
        <f t="shared" si="1"/>
        <v>0</v>
      </c>
    </row>
    <row r="19" spans="1:8" x14ac:dyDescent="0.45">
      <c r="A19" s="30">
        <v>2034</v>
      </c>
      <c r="B19" s="26" t="str">
        <f>tab!B19</f>
        <v>+</v>
      </c>
      <c r="C19" s="27" t="str">
        <f>tab!C19</f>
        <v>Verbas Rescisórias em desacordo com a legislação trabalhista vigente</v>
      </c>
      <c r="D19" s="28"/>
      <c r="E19" s="42">
        <f>HLOOKUP(E$4,tab!$E$4:$P$33,MATCH($C19,$C$4:$C$33,0),0)</f>
        <v>0</v>
      </c>
      <c r="F19" s="42">
        <f>HLOOKUP(F$4,tab!$E$4:$P$33,MATCH($C19,$C$4:$C$33,0),0)</f>
        <v>0</v>
      </c>
      <c r="G19" s="42">
        <f>HLOOKUP(G$4,tab!$E$4:$P$33,MATCH($C19,$C$4:$C$33,0),0)</f>
        <v>0</v>
      </c>
      <c r="H19" s="42">
        <f t="shared" si="1"/>
        <v>0</v>
      </c>
    </row>
    <row r="20" spans="1:8" s="31" customFormat="1" x14ac:dyDescent="0.45">
      <c r="A20" s="12">
        <v>2035</v>
      </c>
      <c r="B20" s="23" t="str">
        <f>tab!B20</f>
        <v>=</v>
      </c>
      <c r="C20" s="24" t="str">
        <f>tab!C20</f>
        <v>Exclusões</v>
      </c>
      <c r="D20" s="25"/>
      <c r="E20" s="41">
        <f>SUM(E21:E33)</f>
        <v>-5000</v>
      </c>
      <c r="F20" s="41">
        <f t="shared" ref="F20:G20" si="2">SUM(F21:F33)</f>
        <v>-2500</v>
      </c>
      <c r="G20" s="41">
        <f t="shared" si="2"/>
        <v>-2500</v>
      </c>
      <c r="H20" s="41">
        <f t="shared" ref="H20" si="3">SUM(E19:G20)</f>
        <v>-10000</v>
      </c>
    </row>
    <row r="21" spans="1:8" x14ac:dyDescent="0.45">
      <c r="A21" s="30">
        <v>2036</v>
      </c>
      <c r="B21" s="26" t="str">
        <f>tab!B21</f>
        <v>-</v>
      </c>
      <c r="C21" s="27" t="str">
        <f>tab!C21</f>
        <v>Ajustes credores de qualquer natureza</v>
      </c>
      <c r="D21" s="28"/>
      <c r="E21" s="42">
        <f>HLOOKUP(E$4,tab!$E$4:$P$33,MATCH($C21,$C$4:$C$33,0),0)</f>
        <v>0</v>
      </c>
      <c r="F21" s="42">
        <f>HLOOKUP(F$4,tab!$E$4:$P$33,MATCH($C21,$C$4:$C$33,0),0)</f>
        <v>0</v>
      </c>
      <c r="G21" s="42">
        <f>HLOOKUP(G$4,tab!$E$4:$P$33,MATCH($C21,$C$4:$C$33,0),0)</f>
        <v>0</v>
      </c>
      <c r="H21" s="42">
        <f>SUM(E21:G21)</f>
        <v>0</v>
      </c>
    </row>
    <row r="22" spans="1:8" x14ac:dyDescent="0.45">
      <c r="A22" s="12">
        <v>2037</v>
      </c>
      <c r="B22" s="26" t="str">
        <f>tab!B22</f>
        <v>-</v>
      </c>
      <c r="C22" s="27" t="str">
        <f>tab!C22</f>
        <v>Decisão Favorável - Processos Judiciais Tributários</v>
      </c>
      <c r="D22" s="28"/>
      <c r="E22" s="42">
        <f>HLOOKUP(E$4,tab!$E$4:$P$33,MATCH($C22,$C$4:$C$33,0),0)</f>
        <v>0</v>
      </c>
      <c r="F22" s="42">
        <f>HLOOKUP(F$4,tab!$E$4:$P$33,MATCH($C22,$C$4:$C$33,0),0)</f>
        <v>0</v>
      </c>
      <c r="G22" s="42">
        <f>HLOOKUP(G$4,tab!$E$4:$P$33,MATCH($C22,$C$4:$C$33,0),0)</f>
        <v>0</v>
      </c>
      <c r="H22" s="42">
        <f t="shared" ref="H22:H33" si="4">SUM(E22:G22)</f>
        <v>0</v>
      </c>
    </row>
    <row r="23" spans="1:8" x14ac:dyDescent="0.45">
      <c r="A23" s="30">
        <v>2038</v>
      </c>
      <c r="B23" s="26" t="str">
        <f>tab!B23</f>
        <v>-</v>
      </c>
      <c r="C23" s="27" t="str">
        <f>tab!C23</f>
        <v>Despesas de Ágios</v>
      </c>
      <c r="D23" s="28"/>
      <c r="E23" s="42">
        <f>HLOOKUP(E$4,tab!$E$4:$P$33,MATCH($C23,$C$4:$C$33,0),0)</f>
        <v>0</v>
      </c>
      <c r="F23" s="42">
        <f>HLOOKUP(F$4,tab!$E$4:$P$33,MATCH($C23,$C$4:$C$33,0),0)</f>
        <v>0</v>
      </c>
      <c r="G23" s="42">
        <f>HLOOKUP(G$4,tab!$E$4:$P$33,MATCH($C23,$C$4:$C$33,0),0)</f>
        <v>0</v>
      </c>
      <c r="H23" s="42">
        <f t="shared" si="4"/>
        <v>0</v>
      </c>
    </row>
    <row r="24" spans="1:8" x14ac:dyDescent="0.45">
      <c r="A24" s="12">
        <v>2039</v>
      </c>
      <c r="B24" s="26" t="str">
        <f>tab!B24</f>
        <v>-</v>
      </c>
      <c r="C24" s="27" t="str">
        <f>tab!C24</f>
        <v>Distribuição de Lucros e Dividendos;</v>
      </c>
      <c r="D24" s="28"/>
      <c r="E24" s="42">
        <f>HLOOKUP(E$4,tab!$E$4:$P$33,MATCH($C24,$C$4:$C$33,0),0)</f>
        <v>-5000</v>
      </c>
      <c r="F24" s="42">
        <f>HLOOKUP(F$4,tab!$E$4:$P$33,MATCH($C24,$C$4:$C$33,0),0)</f>
        <v>-2500</v>
      </c>
      <c r="G24" s="42">
        <f>HLOOKUP(G$4,tab!$E$4:$P$33,MATCH($C24,$C$4:$C$33,0),0)</f>
        <v>-2500</v>
      </c>
      <c r="H24" s="42">
        <f t="shared" si="4"/>
        <v>-10000</v>
      </c>
    </row>
    <row r="25" spans="1:8" x14ac:dyDescent="0.45">
      <c r="A25" s="30">
        <v>2040</v>
      </c>
      <c r="B25" s="26" t="str">
        <f>tab!B25</f>
        <v>-</v>
      </c>
      <c r="C25" s="27" t="str">
        <f>tab!C25</f>
        <v>Dividendos Coligadas e Controladas</v>
      </c>
      <c r="D25" s="28"/>
      <c r="E25" s="42">
        <f>HLOOKUP(E$4,tab!$E$4:$P$33,MATCH($C25,$C$4:$C$33,0),0)</f>
        <v>0</v>
      </c>
      <c r="F25" s="42">
        <f>HLOOKUP(F$4,tab!$E$4:$P$33,MATCH($C25,$C$4:$C$33,0),0)</f>
        <v>0</v>
      </c>
      <c r="G25" s="42">
        <f>HLOOKUP(G$4,tab!$E$4:$P$33,MATCH($C25,$C$4:$C$33,0),0)</f>
        <v>0</v>
      </c>
      <c r="H25" s="42">
        <f t="shared" si="4"/>
        <v>0</v>
      </c>
    </row>
    <row r="26" spans="1:8" x14ac:dyDescent="0.45">
      <c r="B26" s="26" t="str">
        <f>tab!B26</f>
        <v>-</v>
      </c>
      <c r="C26" s="27" t="str">
        <f>tab!C26</f>
        <v>Pagamento de Impostos em Atraso por iniciativa da Empresa</v>
      </c>
      <c r="D26" s="28"/>
      <c r="E26" s="42">
        <f>HLOOKUP(E$4,tab!$E$4:$P$33,MATCH($C26,$C$4:$C$33,0),0)</f>
        <v>0</v>
      </c>
      <c r="F26" s="42">
        <f>HLOOKUP(F$4,tab!$E$4:$P$33,MATCH($C26,$C$4:$C$33,0),0)</f>
        <v>0</v>
      </c>
      <c r="G26" s="42">
        <f>HLOOKUP(G$4,tab!$E$4:$P$33,MATCH($C26,$C$4:$C$33,0),0)</f>
        <v>0</v>
      </c>
      <c r="H26" s="42">
        <f t="shared" si="4"/>
        <v>0</v>
      </c>
    </row>
    <row r="27" spans="1:8" x14ac:dyDescent="0.45">
      <c r="B27" s="26" t="str">
        <f>tab!B27</f>
        <v>-</v>
      </c>
      <c r="C27" s="27" t="str">
        <f>tab!C27</f>
        <v>Pagamento de Impostos sobre discussão judicial,</v>
      </c>
      <c r="D27" s="28"/>
      <c r="E27" s="42">
        <f>HLOOKUP(E$4,tab!$E$4:$P$33,MATCH($C27,$C$4:$C$33,0),0)</f>
        <v>0</v>
      </c>
      <c r="F27" s="42">
        <f>HLOOKUP(F$4,tab!$E$4:$P$33,MATCH($C27,$C$4:$C$33,0),0)</f>
        <v>0</v>
      </c>
      <c r="G27" s="42">
        <f>HLOOKUP(G$4,tab!$E$4:$P$33,MATCH($C27,$C$4:$C$33,0),0)</f>
        <v>0</v>
      </c>
      <c r="H27" s="42">
        <f t="shared" si="4"/>
        <v>0</v>
      </c>
    </row>
    <row r="28" spans="1:8" x14ac:dyDescent="0.45">
      <c r="B28" s="26" t="str">
        <f>tab!B28</f>
        <v>-</v>
      </c>
      <c r="C28" s="27" t="str">
        <f>tab!C28</f>
        <v>Receita de Variação Cambial</v>
      </c>
      <c r="D28" s="28"/>
      <c r="E28" s="42">
        <f>HLOOKUP(E$4,tab!$E$4:$P$33,MATCH($C28,$C$4:$C$33,0),0)</f>
        <v>0</v>
      </c>
      <c r="F28" s="42">
        <f>HLOOKUP(F$4,tab!$E$4:$P$33,MATCH($C28,$C$4:$C$33,0),0)</f>
        <v>0</v>
      </c>
      <c r="G28" s="42">
        <f>HLOOKUP(G$4,tab!$E$4:$P$33,MATCH($C28,$C$4:$C$33,0),0)</f>
        <v>0</v>
      </c>
      <c r="H28" s="42">
        <f t="shared" si="4"/>
        <v>0</v>
      </c>
    </row>
    <row r="29" spans="1:8" x14ac:dyDescent="0.45">
      <c r="B29" s="26" t="str">
        <f>tab!B29</f>
        <v>-</v>
      </c>
      <c r="C29" s="27" t="str">
        <f>tab!C29</f>
        <v>Receitas Obtidas com Tributação Exclusiva ou Isenta de IR</v>
      </c>
      <c r="D29" s="28"/>
      <c r="E29" s="42">
        <f>HLOOKUP(E$4,tab!$E$4:$P$33,MATCH($C29,$C$4:$C$33,0),0)</f>
        <v>0</v>
      </c>
      <c r="F29" s="42">
        <f>HLOOKUP(F$4,tab!$E$4:$P$33,MATCH($C29,$C$4:$C$33,0),0)</f>
        <v>0</v>
      </c>
      <c r="G29" s="42">
        <f>HLOOKUP(G$4,tab!$E$4:$P$33,MATCH($C29,$C$4:$C$33,0),0)</f>
        <v>0</v>
      </c>
      <c r="H29" s="42">
        <f t="shared" si="4"/>
        <v>0</v>
      </c>
    </row>
    <row r="30" spans="1:8" x14ac:dyDescent="0.45">
      <c r="B30" s="26" t="str">
        <f>tab!B30</f>
        <v>-</v>
      </c>
      <c r="C30" s="27" t="str">
        <f>tab!C30</f>
        <v>Receitas que poderiam ser diferidas;</v>
      </c>
      <c r="D30" s="28"/>
      <c r="E30" s="42">
        <f>HLOOKUP(E$4,tab!$E$4:$P$33,MATCH($C30,$C$4:$C$33,0),0)</f>
        <v>0</v>
      </c>
      <c r="F30" s="42">
        <f>HLOOKUP(F$4,tab!$E$4:$P$33,MATCH($C30,$C$4:$C$33,0),0)</f>
        <v>0</v>
      </c>
      <c r="G30" s="42">
        <f>HLOOKUP(G$4,tab!$E$4:$P$33,MATCH($C30,$C$4:$C$33,0),0)</f>
        <v>0</v>
      </c>
      <c r="H30" s="42">
        <f t="shared" si="4"/>
        <v>0</v>
      </c>
    </row>
    <row r="31" spans="1:8" x14ac:dyDescent="0.45">
      <c r="B31" s="26" t="str">
        <f>tab!B31</f>
        <v>-</v>
      </c>
      <c r="C31" s="27" t="str">
        <f>tab!C31</f>
        <v>Resultado Positivo de Equivalência Patrimonial</v>
      </c>
      <c r="D31" s="28"/>
      <c r="E31" s="42">
        <f>HLOOKUP(E$4,tab!$E$4:$P$33,MATCH($C31,$C$4:$C$33,0),0)</f>
        <v>0</v>
      </c>
      <c r="F31" s="42">
        <f>HLOOKUP(F$4,tab!$E$4:$P$33,MATCH($C31,$C$4:$C$33,0),0)</f>
        <v>0</v>
      </c>
      <c r="G31" s="42">
        <f>HLOOKUP(G$4,tab!$E$4:$P$33,MATCH($C31,$C$4:$C$33,0),0)</f>
        <v>0</v>
      </c>
      <c r="H31" s="42">
        <f t="shared" si="4"/>
        <v>0</v>
      </c>
    </row>
    <row r="32" spans="1:8" x14ac:dyDescent="0.45">
      <c r="A32" s="30"/>
      <c r="B32" s="26" t="str">
        <f>tab!B32</f>
        <v>-</v>
      </c>
      <c r="C32" s="27" t="str">
        <f>tab!C32</f>
        <v>Reversão de Provisões Indedutíveis</v>
      </c>
      <c r="D32" s="28"/>
      <c r="E32" s="42">
        <f>HLOOKUP(E$4,tab!$E$4:$P$33,MATCH($C32,$C$4:$C$33,0),0)</f>
        <v>0</v>
      </c>
      <c r="F32" s="42">
        <f>HLOOKUP(F$4,tab!$E$4:$P$33,MATCH($C32,$C$4:$C$33,0),0)</f>
        <v>0</v>
      </c>
      <c r="G32" s="42">
        <f>HLOOKUP(G$4,tab!$E$4:$P$33,MATCH($C32,$C$4:$C$33,0),0)</f>
        <v>0</v>
      </c>
      <c r="H32" s="42">
        <f t="shared" si="4"/>
        <v>0</v>
      </c>
    </row>
    <row r="33" spans="1:10" x14ac:dyDescent="0.45">
      <c r="A33" s="30"/>
      <c r="B33" s="26" t="str">
        <f>tab!B33</f>
        <v>-</v>
      </c>
      <c r="C33" s="27" t="str">
        <f>tab!C33</f>
        <v>Vendas Não Expedidas do Período</v>
      </c>
      <c r="D33" s="28"/>
      <c r="E33" s="42">
        <f>HLOOKUP(E$4,tab!$E$4:$P$33,MATCH($C33,$C$4:$C$33,0),0)</f>
        <v>0</v>
      </c>
      <c r="F33" s="42">
        <f>HLOOKUP(F$4,tab!$E$4:$P$33,MATCH($C33,$C$4:$C$33,0),0)</f>
        <v>0</v>
      </c>
      <c r="G33" s="42">
        <f>HLOOKUP(G$4,tab!$E$4:$P$33,MATCH($C33,$C$4:$C$33,0),0)</f>
        <v>0</v>
      </c>
      <c r="H33" s="42">
        <f t="shared" si="4"/>
        <v>0</v>
      </c>
    </row>
    <row r="34" spans="1:10" s="31" customFormat="1" x14ac:dyDescent="0.45">
      <c r="A34" s="12"/>
      <c r="B34" s="23" t="str">
        <f>tab!B34</f>
        <v>=</v>
      </c>
      <c r="C34" s="24" t="str">
        <f>tab!C34</f>
        <v>Base de Cálculo</v>
      </c>
      <c r="D34" s="25"/>
      <c r="E34" s="41"/>
      <c r="F34" s="41"/>
      <c r="G34" s="41"/>
      <c r="H34" s="41">
        <f>SUM(H5,H6,H20)</f>
        <v>66200</v>
      </c>
      <c r="J34" s="49"/>
    </row>
    <row r="35" spans="1:10" s="31" customFormat="1" x14ac:dyDescent="0.45">
      <c r="A35" s="12"/>
      <c r="B35" s="23" t="str">
        <f>tab!B35</f>
        <v>=</v>
      </c>
      <c r="C35" s="24" t="str">
        <f>tab!C35</f>
        <v>Saldo Prejuízo Fiscal</v>
      </c>
      <c r="D35" s="25"/>
      <c r="E35" s="41"/>
      <c r="F35" s="41"/>
      <c r="G35" s="41"/>
      <c r="H35" s="41">
        <f>tab!K35</f>
        <v>40100</v>
      </c>
    </row>
    <row r="36" spans="1:10" x14ac:dyDescent="0.45">
      <c r="B36" s="23" t="str">
        <f>tab!B36</f>
        <v>%</v>
      </c>
      <c r="C36" s="24" t="str">
        <f>tab!C36</f>
        <v>Compensação de Prejuízo Fiscal</v>
      </c>
      <c r="D36" s="25">
        <f>tab!D36</f>
        <v>0.3</v>
      </c>
      <c r="E36" s="41"/>
      <c r="F36" s="41"/>
      <c r="G36" s="41"/>
      <c r="H36" s="41">
        <f>-IF(AND(H34&gt;0,H35&gt;0,H34*$D$36&lt;H35),H34*$D$36,IF(AND(H34&gt;0,H34*$D$36&gt;H35),H35,0))</f>
        <v>-19860</v>
      </c>
    </row>
    <row r="37" spans="1:10" x14ac:dyDescent="0.45">
      <c r="B37" s="23" t="str">
        <f>tab!B37</f>
        <v>%</v>
      </c>
      <c r="C37" s="24" t="str">
        <f>tab!C37</f>
        <v>Adicional de Imposto de Renda</v>
      </c>
      <c r="D37" s="25">
        <f>tab!D37</f>
        <v>0.1</v>
      </c>
      <c r="E37" s="41"/>
      <c r="F37" s="41"/>
      <c r="G37" s="41"/>
      <c r="H37" s="41">
        <f>IF(SUM(H34,H36)&gt;60000,(SUM(H34,H36)-60000*$H$4)*$D$37,0)</f>
        <v>0</v>
      </c>
    </row>
    <row r="38" spans="1:10" x14ac:dyDescent="0.45">
      <c r="B38" s="23" t="str">
        <f>tab!B38</f>
        <v>%</v>
      </c>
      <c r="C38" s="24" t="str">
        <f>tab!C38</f>
        <v>Imposto de Renda</v>
      </c>
      <c r="D38" s="25">
        <f>tab!D38</f>
        <v>0.15</v>
      </c>
      <c r="E38" s="41"/>
      <c r="F38" s="41"/>
      <c r="G38" s="41"/>
      <c r="H38" s="41">
        <f>IF(SUM(H34,H36)*$D$38&gt;0,SUM(H34,H36)*$D$38,0)</f>
        <v>6951</v>
      </c>
    </row>
    <row r="39" spans="1:10" x14ac:dyDescent="0.45">
      <c r="B39" s="23" t="str">
        <f>tab!B39</f>
        <v>%</v>
      </c>
      <c r="C39" s="24" t="str">
        <f>tab!C39</f>
        <v>Contribuição Social</v>
      </c>
      <c r="D39" s="25">
        <f>tab!D39</f>
        <v>0.09</v>
      </c>
      <c r="E39" s="41"/>
      <c r="F39" s="41"/>
      <c r="G39" s="41"/>
      <c r="H39" s="41">
        <f>IF(SUM(H34,H36)*$D$39&gt;0,SUM(H34,H36)*$D$39,0)</f>
        <v>4170.5999999999995</v>
      </c>
    </row>
    <row r="40" spans="1:10" x14ac:dyDescent="0.45">
      <c r="B40" s="23" t="str">
        <f>tab!B40</f>
        <v>=</v>
      </c>
      <c r="C40" s="24" t="str">
        <f>tab!C40</f>
        <v>Compensações</v>
      </c>
      <c r="D40" s="25"/>
      <c r="E40" s="41">
        <f>SUM(E42:E47)</f>
        <v>-900</v>
      </c>
      <c r="F40" s="41">
        <f t="shared" ref="F40:H40" si="5">SUM(F42:F47)</f>
        <v>-700</v>
      </c>
      <c r="G40" s="41">
        <f t="shared" si="5"/>
        <v>-700</v>
      </c>
      <c r="H40" s="41">
        <f t="shared" si="5"/>
        <v>-2300</v>
      </c>
    </row>
    <row r="41" spans="1:10" x14ac:dyDescent="0.45">
      <c r="B41" s="26" t="str">
        <f>tab!B41</f>
        <v>-</v>
      </c>
      <c r="C41" s="27" t="str">
        <f>tab!C41</f>
        <v>IR Base Negativa Exercícios Anteriores</v>
      </c>
      <c r="D41" s="33" t="str">
        <f>LEFT(C41,2)</f>
        <v>IR</v>
      </c>
      <c r="E41" s="42">
        <f>HLOOKUP(E$4,tab!$E$4:$P$49,MATCH($C41,$C$4:$C$49,0),0)</f>
        <v>0</v>
      </c>
      <c r="F41" s="42">
        <f>HLOOKUP(F$4,tab!$E$4:$P$49,MATCH($C41,$C$4:$C$49,0),0)</f>
        <v>0</v>
      </c>
      <c r="G41" s="42">
        <f>HLOOKUP(G$4,tab!$E$4:$P$49,MATCH($C41,$C$4:$C$49,0),0)</f>
        <v>0</v>
      </c>
      <c r="H41" s="42">
        <f>SUM(E41:G41)</f>
        <v>0</v>
      </c>
    </row>
    <row r="42" spans="1:10" x14ac:dyDescent="0.45">
      <c r="B42" s="26" t="str">
        <f>tab!B42</f>
        <v>-</v>
      </c>
      <c r="C42" s="27" t="str">
        <f>tab!C42</f>
        <v>IR s/ Aplicações Financeiras</v>
      </c>
      <c r="D42" s="33" t="str">
        <f t="shared" ref="D42:D47" si="6">LEFT(C42,2)</f>
        <v>IR</v>
      </c>
      <c r="E42" s="42">
        <f>HLOOKUP(E$4,tab!$E$4:$P$49,MATCH($C42,$C$4:$C$49,0),0)</f>
        <v>0</v>
      </c>
      <c r="F42" s="42">
        <f>HLOOKUP(F$4,tab!$E$4:$P$49,MATCH($C42,$C$4:$C$49,0),0)</f>
        <v>0</v>
      </c>
      <c r="G42" s="42">
        <f>HLOOKUP(G$4,tab!$E$4:$P$49,MATCH($C42,$C$4:$C$49,0),0)</f>
        <v>0</v>
      </c>
      <c r="H42" s="42">
        <f t="shared" ref="H42:H47" si="7">SUM(E42:G42)</f>
        <v>0</v>
      </c>
    </row>
    <row r="43" spans="1:10" x14ac:dyDescent="0.45">
      <c r="B43" s="26" t="str">
        <f>tab!B43</f>
        <v>-</v>
      </c>
      <c r="C43" s="27" t="str">
        <f>tab!C43</f>
        <v xml:space="preserve">IR Retida s/ Notas Fiscais </v>
      </c>
      <c r="D43" s="33" t="str">
        <f t="shared" si="6"/>
        <v>IR</v>
      </c>
      <c r="E43" s="42">
        <f>HLOOKUP(E$4,tab!$E$4:$P$49,MATCH($C43,$C$4:$C$49,0),0)</f>
        <v>-500</v>
      </c>
      <c r="F43" s="42">
        <f>HLOOKUP(F$4,tab!$E$4:$P$49,MATCH($C43,$C$4:$C$49,0),0)</f>
        <v>-500</v>
      </c>
      <c r="G43" s="42">
        <f>HLOOKUP(G$4,tab!$E$4:$P$49,MATCH($C43,$C$4:$C$49,0),0)</f>
        <v>-500</v>
      </c>
      <c r="H43" s="42">
        <f t="shared" si="7"/>
        <v>-1500</v>
      </c>
    </row>
    <row r="44" spans="1:10" x14ac:dyDescent="0.45">
      <c r="B44" s="26" t="str">
        <f>tab!B44</f>
        <v>-</v>
      </c>
      <c r="C44" s="27" t="str">
        <f>tab!C44</f>
        <v>IR Pago no Exercício</v>
      </c>
      <c r="D44" s="33" t="str">
        <f t="shared" si="6"/>
        <v>IR</v>
      </c>
      <c r="E44" s="42">
        <f>HLOOKUP(E$4,tab!$E$4:$P$49,MATCH($C44,$C$4:$C$49,0),0)</f>
        <v>0</v>
      </c>
      <c r="F44" s="42">
        <f>HLOOKUP(F$4,tab!$E$4:$P$49,MATCH($C44,$C$4:$C$49,0),0)</f>
        <v>0</v>
      </c>
      <c r="G44" s="42">
        <f>HLOOKUP(G$4,tab!$E$4:$P$49,MATCH($C44,$C$4:$C$49,0),0)</f>
        <v>0</v>
      </c>
      <c r="H44" s="42">
        <f t="shared" si="7"/>
        <v>0</v>
      </c>
    </row>
    <row r="45" spans="1:10" x14ac:dyDescent="0.45">
      <c r="B45" s="26" t="str">
        <f>tab!B45</f>
        <v>-</v>
      </c>
      <c r="C45" s="27" t="str">
        <f>tab!C45</f>
        <v>CS Base Negativa Exercícios Anteriores</v>
      </c>
      <c r="D45" s="33" t="str">
        <f t="shared" si="6"/>
        <v>CS</v>
      </c>
      <c r="E45" s="42">
        <f>HLOOKUP(E$4,tab!$E$4:$P$49,MATCH($C45,$C$4:$C$49,0),0)</f>
        <v>0</v>
      </c>
      <c r="F45" s="42">
        <f>HLOOKUP(F$4,tab!$E$4:$P$49,MATCH($C45,$C$4:$C$49,0),0)</f>
        <v>0</v>
      </c>
      <c r="G45" s="42">
        <f>HLOOKUP(G$4,tab!$E$4:$P$49,MATCH($C45,$C$4:$C$49,0),0)</f>
        <v>0</v>
      </c>
      <c r="H45" s="42">
        <f t="shared" si="7"/>
        <v>0</v>
      </c>
    </row>
    <row r="46" spans="1:10" x14ac:dyDescent="0.45">
      <c r="B46" s="26" t="str">
        <f>tab!B46</f>
        <v>-</v>
      </c>
      <c r="C46" s="27" t="str">
        <f>tab!C46</f>
        <v>CS Retida s/ Notas Fiscais</v>
      </c>
      <c r="D46" s="33" t="str">
        <f t="shared" si="6"/>
        <v>CS</v>
      </c>
      <c r="E46" s="42">
        <f>HLOOKUP(E$4,tab!$E$4:$P$49,MATCH($C46,$C$4:$C$49,0),0)</f>
        <v>-400</v>
      </c>
      <c r="F46" s="42">
        <f>HLOOKUP(F$4,tab!$E$4:$P$49,MATCH($C46,$C$4:$C$49,0),0)</f>
        <v>-200</v>
      </c>
      <c r="G46" s="42">
        <f>HLOOKUP(G$4,tab!$E$4:$P$49,MATCH($C46,$C$4:$C$49,0),0)</f>
        <v>-200</v>
      </c>
      <c r="H46" s="42">
        <f t="shared" si="7"/>
        <v>-800</v>
      </c>
    </row>
    <row r="47" spans="1:10" x14ac:dyDescent="0.45">
      <c r="B47" s="26" t="str">
        <f>tab!B47</f>
        <v>-</v>
      </c>
      <c r="C47" s="27" t="str">
        <f>tab!C47</f>
        <v>CS Pago no Exercício</v>
      </c>
      <c r="D47" s="33" t="str">
        <f t="shared" si="6"/>
        <v>CS</v>
      </c>
      <c r="E47" s="42">
        <f>HLOOKUP(E$4,tab!$E$4:$P$49,MATCH($C47,$C$4:$C$49,0),0)</f>
        <v>0</v>
      </c>
      <c r="F47" s="42">
        <f>HLOOKUP(F$4,tab!$E$4:$P$49,MATCH($C47,$C$4:$C$49,0),0)</f>
        <v>0</v>
      </c>
      <c r="G47" s="42">
        <f>HLOOKUP(G$4,tab!$E$4:$P$49,MATCH($C47,$C$4:$C$49,0),0)</f>
        <v>0</v>
      </c>
      <c r="H47" s="42">
        <f t="shared" si="7"/>
        <v>0</v>
      </c>
    </row>
    <row r="48" spans="1:10" x14ac:dyDescent="0.45">
      <c r="B48" s="23" t="str">
        <f>tab!B48</f>
        <v>=</v>
      </c>
      <c r="C48" s="24" t="str">
        <f>tab!C48</f>
        <v>Imposto de Renda a Pagar</v>
      </c>
      <c r="D48" s="25"/>
      <c r="E48" s="41"/>
      <c r="F48" s="41"/>
      <c r="G48" s="41"/>
      <c r="H48" s="41">
        <f>IF(SUM(H37,H38,SUMIF(D41:D47,"IR",H$41:H$47))&gt;0,SUM(H37,H38,SUMIF(D41:D47,"IR",H$41:H$47)),0)</f>
        <v>5451</v>
      </c>
    </row>
    <row r="49" spans="2:8" x14ac:dyDescent="0.45">
      <c r="B49" s="23" t="str">
        <f>tab!B49</f>
        <v>=</v>
      </c>
      <c r="C49" s="24" t="str">
        <f>tab!C49</f>
        <v>Contribuição Social a Pagar</v>
      </c>
      <c r="D49" s="25"/>
      <c r="E49" s="41"/>
      <c r="F49" s="41"/>
      <c r="G49" s="41"/>
      <c r="H49" s="41">
        <f>IF(SUM(H39,SUMIF($D$41:$D$47,"CS",H$41:H$47))&gt;0,SUM(H39,SUMIF($D$41:$D$47,"CS",H$41:H$47)),0)</f>
        <v>3370.5999999999995</v>
      </c>
    </row>
    <row r="50" spans="2:8" x14ac:dyDescent="0.45">
      <c r="B50" s="29"/>
      <c r="C50" s="29"/>
      <c r="D50" s="29"/>
    </row>
    <row r="51" spans="2:8" x14ac:dyDescent="0.45">
      <c r="B51" s="29"/>
      <c r="C51" s="29"/>
      <c r="D51" s="29"/>
    </row>
  </sheetData>
  <sheetProtection algorithmName="SHA-512" hashValue="E7AWMLhtJmE/fvT4SIWBZchXs9ntAsoqZ1Uss5SPFqL4UBNOqe/+NZ/HuGgxDiU7RYey+7NDY1QHWDSVo+1UFw==" saltValue="fKYZAXh3o1R7jfqHN1p7jw==" spinCount="100000" sheet="1" objects="1" scenarios="1" selectLockedCells="1"/>
  <dataConsolidate/>
  <hyperlinks>
    <hyperlink ref="A2" r:id="rId1" xr:uid="{90D31503-B0E4-4F2A-844C-6A6D026EC769}"/>
  </hyperlinks>
  <pageMargins left="0.25" right="0.25" top="0.75" bottom="0.75" header="0.3" footer="0.3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BC77-C257-407D-A1A6-A24A195D1BFC}">
  <sheetPr codeName="Planilha7"/>
  <dimension ref="A1:J51"/>
  <sheetViews>
    <sheetView showGridLines="0" zoomScaleNormal="100" workbookViewId="0">
      <pane ySplit="4" topLeftCell="A5" activePane="bottomLeft" state="frozen"/>
      <selection activeCell="C1" sqref="C1"/>
      <selection pane="bottomLeft" activeCell="B3" sqref="B3"/>
    </sheetView>
  </sheetViews>
  <sheetFormatPr defaultColWidth="9.1796875" defaultRowHeight="16" x14ac:dyDescent="0.45"/>
  <cols>
    <col min="1" max="1" width="3.7265625" style="12" customWidth="1"/>
    <col min="2" max="2" width="7.1796875" style="4" bestFit="1" customWidth="1"/>
    <col min="3" max="3" width="56.6328125" style="4" bestFit="1" customWidth="1"/>
    <col min="4" max="4" width="7.1796875" style="4" bestFit="1" customWidth="1"/>
    <col min="5" max="5" width="12.7265625" style="4" customWidth="1"/>
    <col min="6" max="8" width="11.90625" style="4" bestFit="1" customWidth="1"/>
    <col min="9" max="9" width="9.1796875" style="4"/>
    <col min="10" max="10" width="10.81640625" style="4" bestFit="1" customWidth="1"/>
    <col min="11" max="16384" width="9.1796875" style="4"/>
  </cols>
  <sheetData>
    <row r="1" spans="1:8" s="3" customFormat="1" ht="39" customHeight="1" x14ac:dyDescent="0.45">
      <c r="A1" s="11"/>
    </row>
    <row r="2" spans="1:8" x14ac:dyDescent="0.45">
      <c r="A2" s="13" t="s">
        <v>5</v>
      </c>
    </row>
    <row r="3" spans="1:8" ht="30" customHeight="1" thickBot="1" x14ac:dyDescent="0.5">
      <c r="B3" s="19">
        <f>tab!B3</f>
        <v>2025</v>
      </c>
    </row>
    <row r="4" spans="1:8" ht="16.5" thickTop="1" x14ac:dyDescent="0.45">
      <c r="B4" s="22" t="s">
        <v>9</v>
      </c>
      <c r="C4" s="22" t="s">
        <v>10</v>
      </c>
      <c r="D4" s="22" t="s">
        <v>11</v>
      </c>
      <c r="E4" s="22" t="s">
        <v>21</v>
      </c>
      <c r="F4" s="22" t="s">
        <v>22</v>
      </c>
      <c r="G4" s="22" t="s">
        <v>23</v>
      </c>
      <c r="H4" s="48">
        <v>4</v>
      </c>
    </row>
    <row r="5" spans="1:8" s="31" customFormat="1" x14ac:dyDescent="0.45">
      <c r="A5" s="30">
        <v>2020</v>
      </c>
      <c r="B5" s="23" t="str">
        <f>tab!B5</f>
        <v>=</v>
      </c>
      <c r="C5" s="24" t="str">
        <f>tab!C5</f>
        <v>Lucro Acumulado</v>
      </c>
      <c r="D5" s="25"/>
      <c r="E5" s="41">
        <f>HLOOKUP(E$4,tab!$E$4:$P$33,MATCH($C5,$C$4:$C$33,0),0)</f>
        <v>30000</v>
      </c>
      <c r="F5" s="41">
        <f>HLOOKUP(F$4,tab!$E$4:$P$33,MATCH($C5,$C$4:$C$33,0),0)</f>
        <v>30000</v>
      </c>
      <c r="G5" s="41">
        <f>HLOOKUP(G$4,tab!$E$4:$P$33,MATCH($C5,$C$4:$C$33,0),0)</f>
        <v>50000</v>
      </c>
      <c r="H5" s="41">
        <f>SUM(E4:G5)</f>
        <v>110000</v>
      </c>
    </row>
    <row r="6" spans="1:8" s="31" customFormat="1" x14ac:dyDescent="0.45">
      <c r="A6" s="12">
        <v>2021</v>
      </c>
      <c r="B6" s="23" t="str">
        <f>tab!B6</f>
        <v>=</v>
      </c>
      <c r="C6" s="24" t="str">
        <f>tab!C6</f>
        <v>Adições</v>
      </c>
      <c r="D6" s="25"/>
      <c r="E6" s="41">
        <f>SUM(E7:E19)</f>
        <v>5800</v>
      </c>
      <c r="F6" s="41">
        <f t="shared" ref="F6:G6" si="0">SUM(F7:F19)</f>
        <v>5800</v>
      </c>
      <c r="G6" s="41">
        <f t="shared" si="0"/>
        <v>3000</v>
      </c>
      <c r="H6" s="41">
        <f>SUM(E6:G6)</f>
        <v>14600</v>
      </c>
    </row>
    <row r="7" spans="1:8" x14ac:dyDescent="0.45">
      <c r="A7" s="30">
        <v>2022</v>
      </c>
      <c r="B7" s="26" t="str">
        <f>tab!B7</f>
        <v>+</v>
      </c>
      <c r="C7" s="27" t="str">
        <f>tab!C7</f>
        <v>Ajustes Devedores de Qualquer Natureza</v>
      </c>
      <c r="D7" s="28"/>
      <c r="E7" s="42">
        <f>HLOOKUP(E$4,tab!$E$4:$P$33,MATCH($C7,$C$4:$C$33,0),0)</f>
        <v>0</v>
      </c>
      <c r="F7" s="42">
        <f>HLOOKUP(F$4,tab!$E$4:$P$33,MATCH($C7,$C$4:$C$33,0),0)</f>
        <v>0</v>
      </c>
      <c r="G7" s="42">
        <f>HLOOKUP(G$4,tab!$E$4:$P$33,MATCH($C7,$C$4:$C$33,0),0)</f>
        <v>0</v>
      </c>
      <c r="H7" s="42">
        <f>SUM(E7:G7)</f>
        <v>0</v>
      </c>
    </row>
    <row r="8" spans="1:8" x14ac:dyDescent="0.45">
      <c r="A8" s="12">
        <v>2023</v>
      </c>
      <c r="B8" s="26" t="str">
        <f>tab!B8</f>
        <v>+</v>
      </c>
      <c r="C8" s="27" t="str">
        <f>tab!C8</f>
        <v>Despesas de Variação Cambial</v>
      </c>
      <c r="D8" s="28"/>
      <c r="E8" s="42">
        <f>HLOOKUP(E$4,tab!$E$4:$P$33,MATCH($C8,$C$4:$C$33,0),0)</f>
        <v>0</v>
      </c>
      <c r="F8" s="42">
        <f>HLOOKUP(F$4,tab!$E$4:$P$33,MATCH($C8,$C$4:$C$33,0),0)</f>
        <v>0</v>
      </c>
      <c r="G8" s="42">
        <f>HLOOKUP(G$4,tab!$E$4:$P$33,MATCH($C8,$C$4:$C$33,0),0)</f>
        <v>0</v>
      </c>
      <c r="H8" s="42">
        <f t="shared" ref="H8:H19" si="1">SUM(E8:G8)</f>
        <v>0</v>
      </c>
    </row>
    <row r="9" spans="1:8" x14ac:dyDescent="0.45">
      <c r="A9" s="30">
        <v>2024</v>
      </c>
      <c r="B9" s="26" t="str">
        <f>tab!B9</f>
        <v>+</v>
      </c>
      <c r="C9" s="27" t="str">
        <f>tab!C9</f>
        <v>Despesas Particulares dos Sócios e Dirigentes;</v>
      </c>
      <c r="D9" s="28"/>
      <c r="E9" s="42">
        <f>HLOOKUP(E$4,tab!$E$4:$P$33,MATCH($C9,$C$4:$C$33,0),0)</f>
        <v>500</v>
      </c>
      <c r="F9" s="42">
        <f>HLOOKUP(F$4,tab!$E$4:$P$33,MATCH($C9,$C$4:$C$33,0),0)</f>
        <v>500</v>
      </c>
      <c r="G9" s="42">
        <f>HLOOKUP(G$4,tab!$E$4:$P$33,MATCH($C9,$C$4:$C$33,0),0)</f>
        <v>500</v>
      </c>
      <c r="H9" s="42">
        <f t="shared" si="1"/>
        <v>1500</v>
      </c>
    </row>
    <row r="10" spans="1:8" x14ac:dyDescent="0.45">
      <c r="A10" s="12">
        <v>2025</v>
      </c>
      <c r="B10" s="26" t="str">
        <f>tab!B10</f>
        <v>+</v>
      </c>
      <c r="C10" s="27" t="str">
        <f>tab!C10</f>
        <v>Doações e Brindes;</v>
      </c>
      <c r="D10" s="28"/>
      <c r="E10" s="42">
        <f>HLOOKUP(E$4,tab!$E$4:$P$33,MATCH($C10,$C$4:$C$33,0),0)</f>
        <v>5000</v>
      </c>
      <c r="F10" s="42">
        <f>HLOOKUP(F$4,tab!$E$4:$P$33,MATCH($C10,$C$4:$C$33,0),0)</f>
        <v>5000</v>
      </c>
      <c r="G10" s="42">
        <f>HLOOKUP(G$4,tab!$E$4:$P$33,MATCH($C10,$C$4:$C$33,0),0)</f>
        <v>2000</v>
      </c>
      <c r="H10" s="42">
        <f t="shared" si="1"/>
        <v>12000</v>
      </c>
    </row>
    <row r="11" spans="1:8" x14ac:dyDescent="0.45">
      <c r="A11" s="30">
        <v>2026</v>
      </c>
      <c r="B11" s="26" t="str">
        <f>tab!B11</f>
        <v>+</v>
      </c>
      <c r="C11" s="27" t="str">
        <f>tab!C11</f>
        <v>Impostos Não Pagos em Discussão Judicial;</v>
      </c>
      <c r="D11" s="28"/>
      <c r="E11" s="42">
        <f>HLOOKUP(E$4,tab!$E$4:$P$33,MATCH($C11,$C$4:$C$33,0),0)</f>
        <v>0</v>
      </c>
      <c r="F11" s="42">
        <f>HLOOKUP(F$4,tab!$E$4:$P$33,MATCH($C11,$C$4:$C$33,0),0)</f>
        <v>0</v>
      </c>
      <c r="G11" s="42">
        <f>HLOOKUP(G$4,tab!$E$4:$P$33,MATCH($C11,$C$4:$C$33,0),0)</f>
        <v>0</v>
      </c>
      <c r="H11" s="42">
        <f t="shared" si="1"/>
        <v>0</v>
      </c>
    </row>
    <row r="12" spans="1:8" x14ac:dyDescent="0.45">
      <c r="A12" s="12">
        <v>2027</v>
      </c>
      <c r="B12" s="26" t="str">
        <f>tab!B12</f>
        <v>+</v>
      </c>
      <c r="C12" s="27" t="str">
        <f>tab!C12</f>
        <v>Impostos Não Pagos por Iniciativa da Empresa;</v>
      </c>
      <c r="D12" s="28"/>
      <c r="E12" s="42">
        <f>HLOOKUP(E$4,tab!$E$4:$P$33,MATCH($C12,$C$4:$C$33,0),0)</f>
        <v>0</v>
      </c>
      <c r="F12" s="42">
        <f>HLOOKUP(F$4,tab!$E$4:$P$33,MATCH($C12,$C$4:$C$33,0),0)</f>
        <v>0</v>
      </c>
      <c r="G12" s="42">
        <f>HLOOKUP(G$4,tab!$E$4:$P$33,MATCH($C12,$C$4:$C$33,0),0)</f>
        <v>0</v>
      </c>
      <c r="H12" s="42">
        <f t="shared" si="1"/>
        <v>0</v>
      </c>
    </row>
    <row r="13" spans="1:8" x14ac:dyDescent="0.45">
      <c r="A13" s="30">
        <v>2028</v>
      </c>
      <c r="B13" s="26" t="str">
        <f>tab!B13</f>
        <v>+</v>
      </c>
      <c r="C13" s="27" t="str">
        <f>tab!C13</f>
        <v>Lucro Inflacionário apurado até 31/12/1995;</v>
      </c>
      <c r="D13" s="28"/>
      <c r="E13" s="42">
        <f>HLOOKUP(E$4,tab!$E$4:$P$33,MATCH($C13,$C$4:$C$33,0),0)</f>
        <v>0</v>
      </c>
      <c r="F13" s="42">
        <f>HLOOKUP(F$4,tab!$E$4:$P$33,MATCH($C13,$C$4:$C$33,0),0)</f>
        <v>0</v>
      </c>
      <c r="G13" s="42">
        <f>HLOOKUP(G$4,tab!$E$4:$P$33,MATCH($C13,$C$4:$C$33,0),0)</f>
        <v>0</v>
      </c>
      <c r="H13" s="42">
        <f t="shared" si="1"/>
        <v>0</v>
      </c>
    </row>
    <row r="14" spans="1:8" x14ac:dyDescent="0.45">
      <c r="A14" s="12">
        <v>2029</v>
      </c>
      <c r="B14" s="26" t="str">
        <f>tab!B14</f>
        <v>+</v>
      </c>
      <c r="C14" s="27" t="str">
        <f>tab!C14</f>
        <v>Multas Contratuais</v>
      </c>
      <c r="D14" s="28"/>
      <c r="E14" s="42">
        <f>HLOOKUP(E$4,tab!$E$4:$P$33,MATCH($C14,$C$4:$C$33,0),0)</f>
        <v>0</v>
      </c>
      <c r="F14" s="42">
        <f>HLOOKUP(F$4,tab!$E$4:$P$33,MATCH($C14,$C$4:$C$33,0),0)</f>
        <v>0</v>
      </c>
      <c r="G14" s="42">
        <f>HLOOKUP(G$4,tab!$E$4:$P$33,MATCH($C14,$C$4:$C$33,0),0)</f>
        <v>0</v>
      </c>
      <c r="H14" s="42">
        <f t="shared" si="1"/>
        <v>0</v>
      </c>
    </row>
    <row r="15" spans="1:8" x14ac:dyDescent="0.45">
      <c r="A15" s="30">
        <v>2030</v>
      </c>
      <c r="B15" s="26" t="str">
        <f>tab!B15</f>
        <v>+</v>
      </c>
      <c r="C15" s="27" t="str">
        <f>tab!C15</f>
        <v>Multas Punitivas (Transito, Imetro, Ibama, Multas sobre ação fiscal)</v>
      </c>
      <c r="D15" s="28"/>
      <c r="E15" s="42">
        <f>HLOOKUP(E$4,tab!$E$4:$P$33,MATCH($C15,$C$4:$C$33,0),0)</f>
        <v>100</v>
      </c>
      <c r="F15" s="42">
        <f>HLOOKUP(F$4,tab!$E$4:$P$33,MATCH($C15,$C$4:$C$33,0),0)</f>
        <v>100</v>
      </c>
      <c r="G15" s="42">
        <f>HLOOKUP(G$4,tab!$E$4:$P$33,MATCH($C15,$C$4:$C$33,0),0)</f>
        <v>100</v>
      </c>
      <c r="H15" s="42">
        <f t="shared" si="1"/>
        <v>300</v>
      </c>
    </row>
    <row r="16" spans="1:8" x14ac:dyDescent="0.45">
      <c r="A16" s="12">
        <v>2031</v>
      </c>
      <c r="B16" s="26" t="str">
        <f>tab!B16</f>
        <v>+</v>
      </c>
      <c r="C16" s="27" t="str">
        <f>tab!C16</f>
        <v>Orçamentos, Pedidos e qualquer documento não idôneo;</v>
      </c>
      <c r="D16" s="28"/>
      <c r="E16" s="42">
        <f>HLOOKUP(E$4,tab!$E$4:$P$33,MATCH($C16,$C$4:$C$33,0),0)</f>
        <v>0</v>
      </c>
      <c r="F16" s="42">
        <f>HLOOKUP(F$4,tab!$E$4:$P$33,MATCH($C16,$C$4:$C$33,0),0)</f>
        <v>0</v>
      </c>
      <c r="G16" s="42">
        <f>HLOOKUP(G$4,tab!$E$4:$P$33,MATCH($C16,$C$4:$C$33,0),0)</f>
        <v>0</v>
      </c>
      <c r="H16" s="42">
        <f t="shared" si="1"/>
        <v>0</v>
      </c>
    </row>
    <row r="17" spans="1:8" x14ac:dyDescent="0.45">
      <c r="A17" s="30">
        <v>2032</v>
      </c>
      <c r="B17" s="26" t="str">
        <f>tab!B17</f>
        <v>+</v>
      </c>
      <c r="C17" s="27" t="str">
        <f>tab!C17</f>
        <v>Provisões Indedutíveis (perdas, frete, propaganda)</v>
      </c>
      <c r="D17" s="28"/>
      <c r="E17" s="42">
        <f>HLOOKUP(E$4,tab!$E$4:$P$33,MATCH($C17,$C$4:$C$33,0),0)</f>
        <v>200</v>
      </c>
      <c r="F17" s="42">
        <f>HLOOKUP(F$4,tab!$E$4:$P$33,MATCH($C17,$C$4:$C$33,0),0)</f>
        <v>200</v>
      </c>
      <c r="G17" s="42">
        <f>HLOOKUP(G$4,tab!$E$4:$P$33,MATCH($C17,$C$4:$C$33,0),0)</f>
        <v>400</v>
      </c>
      <c r="H17" s="42">
        <f t="shared" si="1"/>
        <v>800</v>
      </c>
    </row>
    <row r="18" spans="1:8" x14ac:dyDescent="0.45">
      <c r="A18" s="12">
        <v>2033</v>
      </c>
      <c r="B18" s="26" t="str">
        <f>tab!B18</f>
        <v>+</v>
      </c>
      <c r="C18" s="27" t="str">
        <f>tab!C18</f>
        <v>Recibos sem especificação da fonte recebedora;</v>
      </c>
      <c r="D18" s="28"/>
      <c r="E18" s="42">
        <f>HLOOKUP(E$4,tab!$E$4:$P$33,MATCH($C18,$C$4:$C$33,0),0)</f>
        <v>0</v>
      </c>
      <c r="F18" s="42">
        <f>HLOOKUP(F$4,tab!$E$4:$P$33,MATCH($C18,$C$4:$C$33,0),0)</f>
        <v>0</v>
      </c>
      <c r="G18" s="42">
        <f>HLOOKUP(G$4,tab!$E$4:$P$33,MATCH($C18,$C$4:$C$33,0),0)</f>
        <v>0</v>
      </c>
      <c r="H18" s="42">
        <f t="shared" si="1"/>
        <v>0</v>
      </c>
    </row>
    <row r="19" spans="1:8" x14ac:dyDescent="0.45">
      <c r="A19" s="30">
        <v>2034</v>
      </c>
      <c r="B19" s="26" t="str">
        <f>tab!B19</f>
        <v>+</v>
      </c>
      <c r="C19" s="27" t="str">
        <f>tab!C19</f>
        <v>Verbas Rescisórias em desacordo com a legislação trabalhista vigente</v>
      </c>
      <c r="D19" s="28"/>
      <c r="E19" s="42">
        <f>HLOOKUP(E$4,tab!$E$4:$P$33,MATCH($C19,$C$4:$C$33,0),0)</f>
        <v>0</v>
      </c>
      <c r="F19" s="42">
        <f>HLOOKUP(F$4,tab!$E$4:$P$33,MATCH($C19,$C$4:$C$33,0),0)</f>
        <v>0</v>
      </c>
      <c r="G19" s="42">
        <f>HLOOKUP(G$4,tab!$E$4:$P$33,MATCH($C19,$C$4:$C$33,0),0)</f>
        <v>0</v>
      </c>
      <c r="H19" s="42">
        <f t="shared" si="1"/>
        <v>0</v>
      </c>
    </row>
    <row r="20" spans="1:8" s="31" customFormat="1" x14ac:dyDescent="0.45">
      <c r="A20" s="12">
        <v>2035</v>
      </c>
      <c r="B20" s="23" t="str">
        <f>tab!B20</f>
        <v>=</v>
      </c>
      <c r="C20" s="24" t="str">
        <f>tab!C20</f>
        <v>Exclusões</v>
      </c>
      <c r="D20" s="25"/>
      <c r="E20" s="41">
        <f>SUM(E21:E33)</f>
        <v>-5000</v>
      </c>
      <c r="F20" s="41">
        <f t="shared" ref="F20:G20" si="2">SUM(F21:F33)</f>
        <v>-10000</v>
      </c>
      <c r="G20" s="41">
        <f t="shared" si="2"/>
        <v>-10000</v>
      </c>
      <c r="H20" s="41">
        <f t="shared" ref="H20" si="3">SUM(E19:G20)</f>
        <v>-25000</v>
      </c>
    </row>
    <row r="21" spans="1:8" x14ac:dyDescent="0.45">
      <c r="A21" s="30">
        <v>2036</v>
      </c>
      <c r="B21" s="26" t="str">
        <f>tab!B21</f>
        <v>-</v>
      </c>
      <c r="C21" s="27" t="str">
        <f>tab!C21</f>
        <v>Ajustes credores de qualquer natureza</v>
      </c>
      <c r="D21" s="28"/>
      <c r="E21" s="42">
        <f>HLOOKUP(E$4,tab!$E$4:$P$33,MATCH($C21,$C$4:$C$33,0),0)</f>
        <v>0</v>
      </c>
      <c r="F21" s="42">
        <f>HLOOKUP(F$4,tab!$E$4:$P$33,MATCH($C21,$C$4:$C$33,0),0)</f>
        <v>0</v>
      </c>
      <c r="G21" s="42">
        <f>HLOOKUP(G$4,tab!$E$4:$P$33,MATCH($C21,$C$4:$C$33,0),0)</f>
        <v>0</v>
      </c>
      <c r="H21" s="42">
        <f>SUM(E21:G21)</f>
        <v>0</v>
      </c>
    </row>
    <row r="22" spans="1:8" x14ac:dyDescent="0.45">
      <c r="A22" s="12">
        <v>2037</v>
      </c>
      <c r="B22" s="26" t="str">
        <f>tab!B22</f>
        <v>-</v>
      </c>
      <c r="C22" s="27" t="str">
        <f>tab!C22</f>
        <v>Decisão Favorável - Processos Judiciais Tributários</v>
      </c>
      <c r="D22" s="28"/>
      <c r="E22" s="42">
        <f>HLOOKUP(E$4,tab!$E$4:$P$33,MATCH($C22,$C$4:$C$33,0),0)</f>
        <v>0</v>
      </c>
      <c r="F22" s="42">
        <f>HLOOKUP(F$4,tab!$E$4:$P$33,MATCH($C22,$C$4:$C$33,0),0)</f>
        <v>0</v>
      </c>
      <c r="G22" s="42">
        <f>HLOOKUP(G$4,tab!$E$4:$P$33,MATCH($C22,$C$4:$C$33,0),0)</f>
        <v>0</v>
      </c>
      <c r="H22" s="42">
        <f t="shared" ref="H22:H33" si="4">SUM(E22:G22)</f>
        <v>0</v>
      </c>
    </row>
    <row r="23" spans="1:8" x14ac:dyDescent="0.45">
      <c r="A23" s="30">
        <v>2038</v>
      </c>
      <c r="B23" s="26" t="str">
        <f>tab!B23</f>
        <v>-</v>
      </c>
      <c r="C23" s="27" t="str">
        <f>tab!C23</f>
        <v>Despesas de Ágios</v>
      </c>
      <c r="D23" s="28"/>
      <c r="E23" s="42">
        <f>HLOOKUP(E$4,tab!$E$4:$P$33,MATCH($C23,$C$4:$C$33,0),0)</f>
        <v>0</v>
      </c>
      <c r="F23" s="42">
        <f>HLOOKUP(F$4,tab!$E$4:$P$33,MATCH($C23,$C$4:$C$33,0),0)</f>
        <v>0</v>
      </c>
      <c r="G23" s="42">
        <f>HLOOKUP(G$4,tab!$E$4:$P$33,MATCH($C23,$C$4:$C$33,0),0)</f>
        <v>0</v>
      </c>
      <c r="H23" s="42">
        <f t="shared" si="4"/>
        <v>0</v>
      </c>
    </row>
    <row r="24" spans="1:8" x14ac:dyDescent="0.45">
      <c r="A24" s="12">
        <v>2039</v>
      </c>
      <c r="B24" s="26" t="str">
        <f>tab!B24</f>
        <v>-</v>
      </c>
      <c r="C24" s="27" t="str">
        <f>tab!C24</f>
        <v>Distribuição de Lucros e Dividendos;</v>
      </c>
      <c r="D24" s="28"/>
      <c r="E24" s="42">
        <f>HLOOKUP(E$4,tab!$E$4:$P$33,MATCH($C24,$C$4:$C$33,0),0)</f>
        <v>-5000</v>
      </c>
      <c r="F24" s="42">
        <f>HLOOKUP(F$4,tab!$E$4:$P$33,MATCH($C24,$C$4:$C$33,0),0)</f>
        <v>-10000</v>
      </c>
      <c r="G24" s="42">
        <f>HLOOKUP(G$4,tab!$E$4:$P$33,MATCH($C24,$C$4:$C$33,0),0)</f>
        <v>-10000</v>
      </c>
      <c r="H24" s="42">
        <f t="shared" si="4"/>
        <v>-25000</v>
      </c>
    </row>
    <row r="25" spans="1:8" x14ac:dyDescent="0.45">
      <c r="A25" s="30">
        <v>2040</v>
      </c>
      <c r="B25" s="26" t="str">
        <f>tab!B25</f>
        <v>-</v>
      </c>
      <c r="C25" s="27" t="str">
        <f>tab!C25</f>
        <v>Dividendos Coligadas e Controladas</v>
      </c>
      <c r="D25" s="28"/>
      <c r="E25" s="42">
        <f>HLOOKUP(E$4,tab!$E$4:$P$33,MATCH($C25,$C$4:$C$33,0),0)</f>
        <v>0</v>
      </c>
      <c r="F25" s="42">
        <f>HLOOKUP(F$4,tab!$E$4:$P$33,MATCH($C25,$C$4:$C$33,0),0)</f>
        <v>0</v>
      </c>
      <c r="G25" s="42">
        <f>HLOOKUP(G$4,tab!$E$4:$P$33,MATCH($C25,$C$4:$C$33,0),0)</f>
        <v>0</v>
      </c>
      <c r="H25" s="42">
        <f t="shared" si="4"/>
        <v>0</v>
      </c>
    </row>
    <row r="26" spans="1:8" x14ac:dyDescent="0.45">
      <c r="B26" s="26" t="str">
        <f>tab!B26</f>
        <v>-</v>
      </c>
      <c r="C26" s="27" t="str">
        <f>tab!C26</f>
        <v>Pagamento de Impostos em Atraso por iniciativa da Empresa</v>
      </c>
      <c r="D26" s="28"/>
      <c r="E26" s="42">
        <f>HLOOKUP(E$4,tab!$E$4:$P$33,MATCH($C26,$C$4:$C$33,0),0)</f>
        <v>0</v>
      </c>
      <c r="F26" s="42">
        <f>HLOOKUP(F$4,tab!$E$4:$P$33,MATCH($C26,$C$4:$C$33,0),0)</f>
        <v>0</v>
      </c>
      <c r="G26" s="42">
        <f>HLOOKUP(G$4,tab!$E$4:$P$33,MATCH($C26,$C$4:$C$33,0),0)</f>
        <v>0</v>
      </c>
      <c r="H26" s="42">
        <f t="shared" si="4"/>
        <v>0</v>
      </c>
    </row>
    <row r="27" spans="1:8" x14ac:dyDescent="0.45">
      <c r="B27" s="26" t="str">
        <f>tab!B27</f>
        <v>-</v>
      </c>
      <c r="C27" s="27" t="str">
        <f>tab!C27</f>
        <v>Pagamento de Impostos sobre discussão judicial,</v>
      </c>
      <c r="D27" s="28"/>
      <c r="E27" s="42">
        <f>HLOOKUP(E$4,tab!$E$4:$P$33,MATCH($C27,$C$4:$C$33,0),0)</f>
        <v>0</v>
      </c>
      <c r="F27" s="42">
        <f>HLOOKUP(F$4,tab!$E$4:$P$33,MATCH($C27,$C$4:$C$33,0),0)</f>
        <v>0</v>
      </c>
      <c r="G27" s="42">
        <f>HLOOKUP(G$4,tab!$E$4:$P$33,MATCH($C27,$C$4:$C$33,0),0)</f>
        <v>0</v>
      </c>
      <c r="H27" s="42">
        <f t="shared" si="4"/>
        <v>0</v>
      </c>
    </row>
    <row r="28" spans="1:8" x14ac:dyDescent="0.45">
      <c r="B28" s="26" t="str">
        <f>tab!B28</f>
        <v>-</v>
      </c>
      <c r="C28" s="27" t="str">
        <f>tab!C28</f>
        <v>Receita de Variação Cambial</v>
      </c>
      <c r="D28" s="28"/>
      <c r="E28" s="42">
        <f>HLOOKUP(E$4,tab!$E$4:$P$33,MATCH($C28,$C$4:$C$33,0),0)</f>
        <v>0</v>
      </c>
      <c r="F28" s="42">
        <f>HLOOKUP(F$4,tab!$E$4:$P$33,MATCH($C28,$C$4:$C$33,0),0)</f>
        <v>0</v>
      </c>
      <c r="G28" s="42">
        <f>HLOOKUP(G$4,tab!$E$4:$P$33,MATCH($C28,$C$4:$C$33,0),0)</f>
        <v>0</v>
      </c>
      <c r="H28" s="42">
        <f t="shared" si="4"/>
        <v>0</v>
      </c>
    </row>
    <row r="29" spans="1:8" x14ac:dyDescent="0.45">
      <c r="B29" s="26" t="str">
        <f>tab!B29</f>
        <v>-</v>
      </c>
      <c r="C29" s="27" t="str">
        <f>tab!C29</f>
        <v>Receitas Obtidas com Tributação Exclusiva ou Isenta de IR</v>
      </c>
      <c r="D29" s="28"/>
      <c r="E29" s="42">
        <f>HLOOKUP(E$4,tab!$E$4:$P$33,MATCH($C29,$C$4:$C$33,0),0)</f>
        <v>0</v>
      </c>
      <c r="F29" s="42">
        <f>HLOOKUP(F$4,tab!$E$4:$P$33,MATCH($C29,$C$4:$C$33,0),0)</f>
        <v>0</v>
      </c>
      <c r="G29" s="42">
        <f>HLOOKUP(G$4,tab!$E$4:$P$33,MATCH($C29,$C$4:$C$33,0),0)</f>
        <v>0</v>
      </c>
      <c r="H29" s="42">
        <f t="shared" si="4"/>
        <v>0</v>
      </c>
    </row>
    <row r="30" spans="1:8" x14ac:dyDescent="0.45">
      <c r="B30" s="26" t="str">
        <f>tab!B30</f>
        <v>-</v>
      </c>
      <c r="C30" s="27" t="str">
        <f>tab!C30</f>
        <v>Receitas que poderiam ser diferidas;</v>
      </c>
      <c r="D30" s="28"/>
      <c r="E30" s="42">
        <f>HLOOKUP(E$4,tab!$E$4:$P$33,MATCH($C30,$C$4:$C$33,0),0)</f>
        <v>0</v>
      </c>
      <c r="F30" s="42">
        <f>HLOOKUP(F$4,tab!$E$4:$P$33,MATCH($C30,$C$4:$C$33,0),0)</f>
        <v>0</v>
      </c>
      <c r="G30" s="42">
        <f>HLOOKUP(G$4,tab!$E$4:$P$33,MATCH($C30,$C$4:$C$33,0),0)</f>
        <v>0</v>
      </c>
      <c r="H30" s="42">
        <f t="shared" si="4"/>
        <v>0</v>
      </c>
    </row>
    <row r="31" spans="1:8" x14ac:dyDescent="0.45">
      <c r="B31" s="26" t="str">
        <f>tab!B31</f>
        <v>-</v>
      </c>
      <c r="C31" s="27" t="str">
        <f>tab!C31</f>
        <v>Resultado Positivo de Equivalência Patrimonial</v>
      </c>
      <c r="D31" s="28"/>
      <c r="E31" s="42">
        <f>HLOOKUP(E$4,tab!$E$4:$P$33,MATCH($C31,$C$4:$C$33,0),0)</f>
        <v>0</v>
      </c>
      <c r="F31" s="42">
        <f>HLOOKUP(F$4,tab!$E$4:$P$33,MATCH($C31,$C$4:$C$33,0),0)</f>
        <v>0</v>
      </c>
      <c r="G31" s="42">
        <f>HLOOKUP(G$4,tab!$E$4:$P$33,MATCH($C31,$C$4:$C$33,0),0)</f>
        <v>0</v>
      </c>
      <c r="H31" s="42">
        <f t="shared" si="4"/>
        <v>0</v>
      </c>
    </row>
    <row r="32" spans="1:8" x14ac:dyDescent="0.45">
      <c r="A32" s="30"/>
      <c r="B32" s="26" t="str">
        <f>tab!B32</f>
        <v>-</v>
      </c>
      <c r="C32" s="27" t="str">
        <f>tab!C32</f>
        <v>Reversão de Provisões Indedutíveis</v>
      </c>
      <c r="D32" s="28"/>
      <c r="E32" s="42">
        <f>HLOOKUP(E$4,tab!$E$4:$P$33,MATCH($C32,$C$4:$C$33,0),0)</f>
        <v>0</v>
      </c>
      <c r="F32" s="42">
        <f>HLOOKUP(F$4,tab!$E$4:$P$33,MATCH($C32,$C$4:$C$33,0),0)</f>
        <v>0</v>
      </c>
      <c r="G32" s="42">
        <f>HLOOKUP(G$4,tab!$E$4:$P$33,MATCH($C32,$C$4:$C$33,0),0)</f>
        <v>0</v>
      </c>
      <c r="H32" s="42">
        <f t="shared" si="4"/>
        <v>0</v>
      </c>
    </row>
    <row r="33" spans="1:10" x14ac:dyDescent="0.45">
      <c r="A33" s="30"/>
      <c r="B33" s="26" t="str">
        <f>tab!B33</f>
        <v>-</v>
      </c>
      <c r="C33" s="27" t="str">
        <f>tab!C33</f>
        <v>Vendas Não Expedidas do Período</v>
      </c>
      <c r="D33" s="28"/>
      <c r="E33" s="42">
        <f>HLOOKUP(E$4,tab!$E$4:$P$33,MATCH($C33,$C$4:$C$33,0),0)</f>
        <v>0</v>
      </c>
      <c r="F33" s="42">
        <f>HLOOKUP(F$4,tab!$E$4:$P$33,MATCH($C33,$C$4:$C$33,0),0)</f>
        <v>0</v>
      </c>
      <c r="G33" s="42">
        <f>HLOOKUP(G$4,tab!$E$4:$P$33,MATCH($C33,$C$4:$C$33,0),0)</f>
        <v>0</v>
      </c>
      <c r="H33" s="42">
        <f t="shared" si="4"/>
        <v>0</v>
      </c>
    </row>
    <row r="34" spans="1:10" s="31" customFormat="1" x14ac:dyDescent="0.45">
      <c r="A34" s="12"/>
      <c r="B34" s="23" t="str">
        <f>tab!B34</f>
        <v>=</v>
      </c>
      <c r="C34" s="24" t="str">
        <f>tab!C34</f>
        <v>Base de Cálculo</v>
      </c>
      <c r="D34" s="25"/>
      <c r="E34" s="41"/>
      <c r="F34" s="41"/>
      <c r="G34" s="41"/>
      <c r="H34" s="41">
        <f>SUM(H5,H6,H20)</f>
        <v>99600</v>
      </c>
      <c r="J34" s="49"/>
    </row>
    <row r="35" spans="1:10" s="31" customFormat="1" x14ac:dyDescent="0.45">
      <c r="A35" s="12"/>
      <c r="B35" s="23" t="str">
        <f>tab!B35</f>
        <v>=</v>
      </c>
      <c r="C35" s="24" t="str">
        <f>tab!C35</f>
        <v>Saldo Prejuízo Fiscal</v>
      </c>
      <c r="D35" s="25"/>
      <c r="E35" s="41"/>
      <c r="F35" s="41"/>
      <c r="G35" s="41"/>
      <c r="H35" s="41">
        <f>tab!N35</f>
        <v>20240</v>
      </c>
    </row>
    <row r="36" spans="1:10" x14ac:dyDescent="0.45">
      <c r="B36" s="23" t="str">
        <f>tab!B36</f>
        <v>%</v>
      </c>
      <c r="C36" s="24" t="str">
        <f>tab!C36</f>
        <v>Compensação de Prejuízo Fiscal</v>
      </c>
      <c r="D36" s="25">
        <f>tab!D36</f>
        <v>0.3</v>
      </c>
      <c r="E36" s="41"/>
      <c r="F36" s="41"/>
      <c r="G36" s="41"/>
      <c r="H36" s="41">
        <f>-IF(AND(H34&gt;0,H35&gt;0,H34*$D$36&lt;H35),H34*$D$36,IF(AND(H34&gt;0,H34*$D$36&gt;H35),H35,0))</f>
        <v>-20240</v>
      </c>
    </row>
    <row r="37" spans="1:10" x14ac:dyDescent="0.45">
      <c r="B37" s="23" t="str">
        <f>tab!B37</f>
        <v>%</v>
      </c>
      <c r="C37" s="24" t="str">
        <f>tab!C37</f>
        <v>Adicional de Imposto de Renda</v>
      </c>
      <c r="D37" s="25">
        <f>tab!D37</f>
        <v>0.1</v>
      </c>
      <c r="E37" s="41"/>
      <c r="F37" s="41"/>
      <c r="G37" s="41"/>
      <c r="H37" s="41">
        <f>IF(SUM(H34,H36)&gt;60000,(SUM(H34,H36)-60000)*$D$37,0)</f>
        <v>1936</v>
      </c>
    </row>
    <row r="38" spans="1:10" x14ac:dyDescent="0.45">
      <c r="B38" s="23" t="str">
        <f>tab!B38</f>
        <v>%</v>
      </c>
      <c r="C38" s="24" t="str">
        <f>tab!C38</f>
        <v>Imposto de Renda</v>
      </c>
      <c r="D38" s="25">
        <f>tab!D38</f>
        <v>0.15</v>
      </c>
      <c r="E38" s="41"/>
      <c r="F38" s="41"/>
      <c r="G38" s="41"/>
      <c r="H38" s="41">
        <f>IF(SUM(H34,H36)*$D$38&gt;0,SUM(H34,H36)*$D$38,0)</f>
        <v>11904</v>
      </c>
    </row>
    <row r="39" spans="1:10" x14ac:dyDescent="0.45">
      <c r="B39" s="23" t="str">
        <f>tab!B39</f>
        <v>%</v>
      </c>
      <c r="C39" s="24" t="str">
        <f>tab!C39</f>
        <v>Contribuição Social</v>
      </c>
      <c r="D39" s="25">
        <f>tab!D39</f>
        <v>0.09</v>
      </c>
      <c r="E39" s="41"/>
      <c r="F39" s="41"/>
      <c r="G39" s="41"/>
      <c r="H39" s="41">
        <f>IF(SUM(H34,H36)*$D$39&gt;0,SUM(H34,H36)*$D$39,0)</f>
        <v>7142.4</v>
      </c>
    </row>
    <row r="40" spans="1:10" x14ac:dyDescent="0.45">
      <c r="B40" s="23" t="str">
        <f>tab!B40</f>
        <v>=</v>
      </c>
      <c r="C40" s="24" t="str">
        <f>tab!C40</f>
        <v>Compensações</v>
      </c>
      <c r="D40" s="25"/>
      <c r="E40" s="41">
        <f>SUM(E42:E47)</f>
        <v>0</v>
      </c>
      <c r="F40" s="41">
        <f t="shared" ref="F40:H40" si="5">SUM(F42:F47)</f>
        <v>0</v>
      </c>
      <c r="G40" s="41">
        <f t="shared" si="5"/>
        <v>0</v>
      </c>
      <c r="H40" s="41">
        <f t="shared" si="5"/>
        <v>0</v>
      </c>
    </row>
    <row r="41" spans="1:10" x14ac:dyDescent="0.45">
      <c r="B41" s="26" t="str">
        <f>tab!B41</f>
        <v>-</v>
      </c>
      <c r="C41" s="27" t="str">
        <f>tab!C41</f>
        <v>IR Base Negativa Exercícios Anteriores</v>
      </c>
      <c r="D41" s="33" t="str">
        <f>LEFT(C41,2)</f>
        <v>IR</v>
      </c>
      <c r="E41" s="42">
        <f>HLOOKUP(E$4,tab!$E$4:$P$49,MATCH($C41,$C$4:$C$49,0),0)</f>
        <v>0</v>
      </c>
      <c r="F41" s="42">
        <f>HLOOKUP(F$4,tab!$E$4:$P$49,MATCH($C41,$C$4:$C$49,0),0)</f>
        <v>0</v>
      </c>
      <c r="G41" s="42">
        <f>HLOOKUP(G$4,tab!$E$4:$P$49,MATCH($C41,$C$4:$C$49,0),0)</f>
        <v>0</v>
      </c>
      <c r="H41" s="42">
        <f>SUM(E41:G41)</f>
        <v>0</v>
      </c>
    </row>
    <row r="42" spans="1:10" x14ac:dyDescent="0.45">
      <c r="B42" s="26" t="str">
        <f>tab!B42</f>
        <v>-</v>
      </c>
      <c r="C42" s="27" t="str">
        <f>tab!C42</f>
        <v>IR s/ Aplicações Financeiras</v>
      </c>
      <c r="D42" s="33" t="str">
        <f t="shared" ref="D42:D47" si="6">LEFT(C42,2)</f>
        <v>IR</v>
      </c>
      <c r="E42" s="42">
        <f>HLOOKUP(E$4,tab!$E$4:$P$49,MATCH($C42,$C$4:$C$49,0),0)</f>
        <v>0</v>
      </c>
      <c r="F42" s="42">
        <f>HLOOKUP(F$4,tab!$E$4:$P$49,MATCH($C42,$C$4:$C$49,0),0)</f>
        <v>0</v>
      </c>
      <c r="G42" s="42">
        <f>HLOOKUP(G$4,tab!$E$4:$P$49,MATCH($C42,$C$4:$C$49,0),0)</f>
        <v>0</v>
      </c>
      <c r="H42" s="42">
        <f t="shared" ref="H42:H47" si="7">SUM(E42:G42)</f>
        <v>0</v>
      </c>
    </row>
    <row r="43" spans="1:10" x14ac:dyDescent="0.45">
      <c r="B43" s="26" t="str">
        <f>tab!B43</f>
        <v>-</v>
      </c>
      <c r="C43" s="27" t="str">
        <f>tab!C43</f>
        <v xml:space="preserve">IR Retida s/ Notas Fiscais </v>
      </c>
      <c r="D43" s="33" t="str">
        <f t="shared" si="6"/>
        <v>IR</v>
      </c>
      <c r="E43" s="42">
        <f>HLOOKUP(E$4,tab!$E$4:$P$49,MATCH($C43,$C$4:$C$49,0),0)</f>
        <v>0</v>
      </c>
      <c r="F43" s="42">
        <f>HLOOKUP(F$4,tab!$E$4:$P$49,MATCH($C43,$C$4:$C$49,0),0)</f>
        <v>0</v>
      </c>
      <c r="G43" s="42">
        <f>HLOOKUP(G$4,tab!$E$4:$P$49,MATCH($C43,$C$4:$C$49,0),0)</f>
        <v>0</v>
      </c>
      <c r="H43" s="42">
        <f t="shared" si="7"/>
        <v>0</v>
      </c>
    </row>
    <row r="44" spans="1:10" x14ac:dyDescent="0.45">
      <c r="B44" s="26" t="str">
        <f>tab!B44</f>
        <v>-</v>
      </c>
      <c r="C44" s="27" t="str">
        <f>tab!C44</f>
        <v>IR Pago no Exercício</v>
      </c>
      <c r="D44" s="33" t="str">
        <f t="shared" si="6"/>
        <v>IR</v>
      </c>
      <c r="E44" s="42">
        <f>HLOOKUP(E$4,tab!$E$4:$P$49,MATCH($C44,$C$4:$C$49,0),0)</f>
        <v>0</v>
      </c>
      <c r="F44" s="42">
        <f>HLOOKUP(F$4,tab!$E$4:$P$49,MATCH($C44,$C$4:$C$49,0),0)</f>
        <v>0</v>
      </c>
      <c r="G44" s="42">
        <f>HLOOKUP(G$4,tab!$E$4:$P$49,MATCH($C44,$C$4:$C$49,0),0)</f>
        <v>0</v>
      </c>
      <c r="H44" s="42">
        <f t="shared" si="7"/>
        <v>0</v>
      </c>
    </row>
    <row r="45" spans="1:10" x14ac:dyDescent="0.45">
      <c r="B45" s="26" t="str">
        <f>tab!B45</f>
        <v>-</v>
      </c>
      <c r="C45" s="27" t="str">
        <f>tab!C45</f>
        <v>CS Base Negativa Exercícios Anteriores</v>
      </c>
      <c r="D45" s="33" t="str">
        <f t="shared" si="6"/>
        <v>CS</v>
      </c>
      <c r="E45" s="42">
        <f>HLOOKUP(E$4,tab!$E$4:$P$49,MATCH($C45,$C$4:$C$49,0),0)</f>
        <v>0</v>
      </c>
      <c r="F45" s="42">
        <f>HLOOKUP(F$4,tab!$E$4:$P$49,MATCH($C45,$C$4:$C$49,0),0)</f>
        <v>0</v>
      </c>
      <c r="G45" s="42">
        <f>HLOOKUP(G$4,tab!$E$4:$P$49,MATCH($C45,$C$4:$C$49,0),0)</f>
        <v>0</v>
      </c>
      <c r="H45" s="42">
        <f t="shared" si="7"/>
        <v>0</v>
      </c>
    </row>
    <row r="46" spans="1:10" x14ac:dyDescent="0.45">
      <c r="B46" s="26" t="str">
        <f>tab!B46</f>
        <v>-</v>
      </c>
      <c r="C46" s="27" t="str">
        <f>tab!C46</f>
        <v>CS Retida s/ Notas Fiscais</v>
      </c>
      <c r="D46" s="33" t="str">
        <f t="shared" si="6"/>
        <v>CS</v>
      </c>
      <c r="E46" s="42">
        <f>HLOOKUP(E$4,tab!$E$4:$P$49,MATCH($C46,$C$4:$C$49,0),0)</f>
        <v>0</v>
      </c>
      <c r="F46" s="42">
        <f>HLOOKUP(F$4,tab!$E$4:$P$49,MATCH($C46,$C$4:$C$49,0),0)</f>
        <v>0</v>
      </c>
      <c r="G46" s="42">
        <f>HLOOKUP(G$4,tab!$E$4:$P$49,MATCH($C46,$C$4:$C$49,0),0)</f>
        <v>0</v>
      </c>
      <c r="H46" s="42">
        <f t="shared" si="7"/>
        <v>0</v>
      </c>
    </row>
    <row r="47" spans="1:10" x14ac:dyDescent="0.45">
      <c r="B47" s="26" t="str">
        <f>tab!B47</f>
        <v>-</v>
      </c>
      <c r="C47" s="27" t="str">
        <f>tab!C47</f>
        <v>CS Pago no Exercício</v>
      </c>
      <c r="D47" s="33" t="str">
        <f t="shared" si="6"/>
        <v>CS</v>
      </c>
      <c r="E47" s="42">
        <f>HLOOKUP(E$4,tab!$E$4:$P$49,MATCH($C47,$C$4:$C$49,0),0)</f>
        <v>0</v>
      </c>
      <c r="F47" s="42">
        <f>HLOOKUP(F$4,tab!$E$4:$P$49,MATCH($C47,$C$4:$C$49,0),0)</f>
        <v>0</v>
      </c>
      <c r="G47" s="42">
        <f>HLOOKUP(G$4,tab!$E$4:$P$49,MATCH($C47,$C$4:$C$49,0),0)</f>
        <v>0</v>
      </c>
      <c r="H47" s="42">
        <f t="shared" si="7"/>
        <v>0</v>
      </c>
    </row>
    <row r="48" spans="1:10" x14ac:dyDescent="0.45">
      <c r="B48" s="23" t="str">
        <f>tab!B48</f>
        <v>=</v>
      </c>
      <c r="C48" s="24" t="str">
        <f>tab!C48</f>
        <v>Imposto de Renda a Pagar</v>
      </c>
      <c r="D48" s="25"/>
      <c r="E48" s="41"/>
      <c r="F48" s="41"/>
      <c r="G48" s="41"/>
      <c r="H48" s="41">
        <f>IF(SUM(H37,H38,SUMIF(D41:D47,"IR",H$41:H$47))&gt;0,SUM(H37,H38,SUMIF(D41:D47,"IR",H$41:H$47)),0)</f>
        <v>13840</v>
      </c>
    </row>
    <row r="49" spans="2:8" x14ac:dyDescent="0.45">
      <c r="B49" s="23" t="str">
        <f>tab!B49</f>
        <v>=</v>
      </c>
      <c r="C49" s="24" t="str">
        <f>tab!C49</f>
        <v>Contribuição Social a Pagar</v>
      </c>
      <c r="D49" s="25"/>
      <c r="E49" s="41"/>
      <c r="F49" s="41"/>
      <c r="G49" s="41"/>
      <c r="H49" s="41">
        <f>IF(SUM(H39,SUMIF($D$41:$D$47,"CS",H$41:H$47))&gt;0,SUM(H39,SUMIF($D$41:$D$47,"CS",H$41:H$47)),0)</f>
        <v>7142.4</v>
      </c>
    </row>
    <row r="50" spans="2:8" x14ac:dyDescent="0.45">
      <c r="B50" s="29"/>
      <c r="C50" s="29"/>
      <c r="D50" s="29"/>
    </row>
    <row r="51" spans="2:8" x14ac:dyDescent="0.45">
      <c r="B51" s="29"/>
      <c r="C51" s="29"/>
      <c r="D51" s="29"/>
    </row>
  </sheetData>
  <sheetProtection algorithmName="SHA-512" hashValue="MUCncvkTekrrg9xKv+Rq+5ca75XcAQkpKi8Ow3xyyk9tzMdSnjk3kaB+FKtjlHBRYFCB7SjBvcCK0Z69aG3i/g==" saltValue="ShChO0Q2t/FsztN0U5yj0A==" spinCount="100000" sheet="1" objects="1" scenarios="1" selectLockedCells="1"/>
  <dataConsolidate/>
  <hyperlinks>
    <hyperlink ref="A2" r:id="rId1" xr:uid="{F0176A28-E5E7-4D89-AEB6-D4B91F1149C6}"/>
  </hyperlinks>
  <pageMargins left="0.25" right="0.25" top="0.75" bottom="0.75" header="0.3" footer="0.3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6"/>
  <dimension ref="A1:I49"/>
  <sheetViews>
    <sheetView showGridLines="0" workbookViewId="0">
      <pane ySplit="4" topLeftCell="A5" activePane="bottomLeft" state="frozen"/>
      <selection activeCell="C1" sqref="C1"/>
      <selection pane="bottomLeft"/>
    </sheetView>
  </sheetViews>
  <sheetFormatPr defaultColWidth="9.1796875" defaultRowHeight="16" x14ac:dyDescent="0.45"/>
  <cols>
    <col min="1" max="1" width="3.7265625" style="7" customWidth="1"/>
    <col min="2" max="2" width="7.1796875" style="9" customWidth="1"/>
    <col min="3" max="3" width="61.54296875" style="9" bestFit="1" customWidth="1"/>
    <col min="4" max="4" width="7.1796875" style="9" bestFit="1" customWidth="1"/>
    <col min="5" max="8" width="12.7265625" style="9" customWidth="1"/>
    <col min="9" max="9" width="11.54296875" style="9" bestFit="1" customWidth="1"/>
    <col min="10" max="16384" width="9.1796875" style="9"/>
  </cols>
  <sheetData>
    <row r="1" spans="1:9" s="10" customFormat="1" ht="39" customHeight="1" x14ac:dyDescent="0.45"/>
    <row r="2" spans="1:9" x14ac:dyDescent="0.45">
      <c r="A2" s="8" t="s">
        <v>5</v>
      </c>
    </row>
    <row r="3" spans="1:9" ht="30" customHeight="1" thickBot="1" x14ac:dyDescent="0.5">
      <c r="A3" s="8"/>
      <c r="B3" s="43" t="s">
        <v>84</v>
      </c>
    </row>
    <row r="4" spans="1:9" s="4" customFormat="1" ht="16.5" thickTop="1" x14ac:dyDescent="0.45">
      <c r="A4" s="12">
        <v>12</v>
      </c>
      <c r="B4" s="22" t="s">
        <v>9</v>
      </c>
      <c r="C4" s="22" t="s">
        <v>10</v>
      </c>
      <c r="D4" s="22" t="s">
        <v>11</v>
      </c>
      <c r="E4" s="48">
        <v>1</v>
      </c>
      <c r="F4" s="48">
        <v>2</v>
      </c>
      <c r="G4" s="48">
        <v>3</v>
      </c>
      <c r="H4" s="48">
        <v>4</v>
      </c>
      <c r="I4" s="22" t="s">
        <v>72</v>
      </c>
    </row>
    <row r="5" spans="1:9" s="4" customFormat="1" ht="14.25" customHeight="1" x14ac:dyDescent="0.45">
      <c r="A5" s="12">
        <v>2018</v>
      </c>
      <c r="B5" s="23" t="str">
        <f>tab!B5</f>
        <v>=</v>
      </c>
      <c r="C5" s="24" t="str">
        <f>tab!C5</f>
        <v>Lucro Acumulado</v>
      </c>
      <c r="D5" s="25"/>
      <c r="E5" s="41">
        <f>'1 trim'!H5</f>
        <v>80000</v>
      </c>
      <c r="F5" s="41">
        <f>'2 trim'!H5</f>
        <v>-40000</v>
      </c>
      <c r="G5" s="41">
        <f>'3 trim'!H5</f>
        <v>70000</v>
      </c>
      <c r="H5" s="41">
        <f>'4 trim'!H5</f>
        <v>110000</v>
      </c>
      <c r="I5" s="41">
        <f t="shared" ref="I5:I49" si="0">AVERAGE(E5:H5)</f>
        <v>55000</v>
      </c>
    </row>
    <row r="6" spans="1:9" s="4" customFormat="1" ht="14.25" customHeight="1" x14ac:dyDescent="0.45">
      <c r="A6" s="30">
        <v>2019</v>
      </c>
      <c r="B6" s="23" t="str">
        <f>tab!B6</f>
        <v>=</v>
      </c>
      <c r="C6" s="24" t="str">
        <f>tab!C6</f>
        <v>Adições</v>
      </c>
      <c r="D6" s="25"/>
      <c r="E6" s="41">
        <f>'1 trim'!H6</f>
        <v>7200</v>
      </c>
      <c r="F6" s="41">
        <f>'2 trim'!H6</f>
        <v>4900</v>
      </c>
      <c r="G6" s="41">
        <f>'3 trim'!H6</f>
        <v>6200</v>
      </c>
      <c r="H6" s="41">
        <f>'4 trim'!H6</f>
        <v>14600</v>
      </c>
      <c r="I6" s="41">
        <f t="shared" si="0"/>
        <v>8225</v>
      </c>
    </row>
    <row r="7" spans="1:9" ht="14.25" customHeight="1" x14ac:dyDescent="0.45">
      <c r="A7" s="12">
        <v>2020</v>
      </c>
      <c r="B7" s="26" t="str">
        <f>tab!B7</f>
        <v>+</v>
      </c>
      <c r="C7" s="27" t="str">
        <f>tab!C7</f>
        <v>Ajustes Devedores de Qualquer Natureza</v>
      </c>
      <c r="D7" s="28"/>
      <c r="E7" s="42">
        <f>'1 trim'!H7</f>
        <v>0</v>
      </c>
      <c r="F7" s="42">
        <f>'2 trim'!H7</f>
        <v>0</v>
      </c>
      <c r="G7" s="42">
        <f>'3 trim'!H7</f>
        <v>0</v>
      </c>
      <c r="H7" s="42">
        <f>'4 trim'!H7</f>
        <v>0</v>
      </c>
      <c r="I7" s="42">
        <f t="shared" si="0"/>
        <v>0</v>
      </c>
    </row>
    <row r="8" spans="1:9" ht="14.25" customHeight="1" x14ac:dyDescent="0.45">
      <c r="A8" s="12">
        <v>2021</v>
      </c>
      <c r="B8" s="26" t="str">
        <f>tab!B8</f>
        <v>+</v>
      </c>
      <c r="C8" s="27" t="str">
        <f>tab!C8</f>
        <v>Despesas de Variação Cambial</v>
      </c>
      <c r="D8" s="28"/>
      <c r="E8" s="42">
        <f>'1 trim'!H8</f>
        <v>0</v>
      </c>
      <c r="F8" s="42">
        <f>'2 trim'!H8</f>
        <v>0</v>
      </c>
      <c r="G8" s="42">
        <f>'3 trim'!H8</f>
        <v>0</v>
      </c>
      <c r="H8" s="42">
        <f>'4 trim'!H8</f>
        <v>0</v>
      </c>
      <c r="I8" s="42">
        <f t="shared" si="0"/>
        <v>0</v>
      </c>
    </row>
    <row r="9" spans="1:9" ht="14.25" customHeight="1" x14ac:dyDescent="0.45">
      <c r="A9" s="12">
        <v>2022</v>
      </c>
      <c r="B9" s="26" t="str">
        <f>tab!B9</f>
        <v>+</v>
      </c>
      <c r="C9" s="27" t="str">
        <f>tab!C9</f>
        <v>Despesas Particulares dos Sócios e Dirigentes;</v>
      </c>
      <c r="D9" s="28"/>
      <c r="E9" s="42">
        <f>'1 trim'!H9</f>
        <v>700</v>
      </c>
      <c r="F9" s="42">
        <f>'2 trim'!H9</f>
        <v>1200</v>
      </c>
      <c r="G9" s="42">
        <f>'3 trim'!H9</f>
        <v>900</v>
      </c>
      <c r="H9" s="42">
        <f>'4 trim'!H9</f>
        <v>1500</v>
      </c>
      <c r="I9" s="42">
        <f t="shared" si="0"/>
        <v>1075</v>
      </c>
    </row>
    <row r="10" spans="1:9" ht="14.25" customHeight="1" x14ac:dyDescent="0.45">
      <c r="A10" s="12">
        <v>2023</v>
      </c>
      <c r="B10" s="26" t="str">
        <f>tab!B10</f>
        <v>+</v>
      </c>
      <c r="C10" s="27" t="str">
        <f>tab!C10</f>
        <v>Doações e Brindes;</v>
      </c>
      <c r="D10" s="28"/>
      <c r="E10" s="42">
        <f>'1 trim'!H10</f>
        <v>5000</v>
      </c>
      <c r="F10" s="42">
        <f>'2 trim'!H10</f>
        <v>3000</v>
      </c>
      <c r="G10" s="42">
        <f>'3 trim'!H10</f>
        <v>4500</v>
      </c>
      <c r="H10" s="42">
        <f>'4 trim'!H10</f>
        <v>12000</v>
      </c>
      <c r="I10" s="42">
        <f t="shared" si="0"/>
        <v>6125</v>
      </c>
    </row>
    <row r="11" spans="1:9" ht="14.25" customHeight="1" x14ac:dyDescent="0.45">
      <c r="A11" s="12">
        <v>2024</v>
      </c>
      <c r="B11" s="26" t="str">
        <f>tab!B11</f>
        <v>+</v>
      </c>
      <c r="C11" s="27" t="str">
        <f>tab!C11</f>
        <v>Impostos Não Pagos em Discussão Judicial;</v>
      </c>
      <c r="D11" s="28"/>
      <c r="E11" s="42">
        <f>'1 trim'!H11</f>
        <v>0</v>
      </c>
      <c r="F11" s="42">
        <f>'2 trim'!H11</f>
        <v>0</v>
      </c>
      <c r="G11" s="42">
        <f>'3 trim'!H11</f>
        <v>0</v>
      </c>
      <c r="H11" s="42">
        <f>'4 trim'!H11</f>
        <v>0</v>
      </c>
      <c r="I11" s="42">
        <f t="shared" si="0"/>
        <v>0</v>
      </c>
    </row>
    <row r="12" spans="1:9" ht="14.25" customHeight="1" x14ac:dyDescent="0.45">
      <c r="A12" s="12">
        <v>2025</v>
      </c>
      <c r="B12" s="26" t="str">
        <f>tab!B12</f>
        <v>+</v>
      </c>
      <c r="C12" s="27" t="str">
        <f>tab!C12</f>
        <v>Impostos Não Pagos por Iniciativa da Empresa;</v>
      </c>
      <c r="D12" s="28"/>
      <c r="E12" s="42">
        <f>'1 trim'!H12</f>
        <v>0</v>
      </c>
      <c r="F12" s="42">
        <f>'2 trim'!H12</f>
        <v>0</v>
      </c>
      <c r="G12" s="42">
        <f>'3 trim'!H12</f>
        <v>0</v>
      </c>
      <c r="H12" s="42">
        <f>'4 trim'!H12</f>
        <v>0</v>
      </c>
      <c r="I12" s="42">
        <f t="shared" si="0"/>
        <v>0</v>
      </c>
    </row>
    <row r="13" spans="1:9" ht="14.25" customHeight="1" x14ac:dyDescent="0.45">
      <c r="A13" s="12">
        <v>2026</v>
      </c>
      <c r="B13" s="26" t="str">
        <f>tab!B13</f>
        <v>+</v>
      </c>
      <c r="C13" s="27" t="str">
        <f>tab!C13</f>
        <v>Lucro Inflacionário apurado até 31/12/1995;</v>
      </c>
      <c r="D13" s="28"/>
      <c r="E13" s="42">
        <f>'1 trim'!H13</f>
        <v>0</v>
      </c>
      <c r="F13" s="42">
        <f>'2 trim'!H13</f>
        <v>0</v>
      </c>
      <c r="G13" s="42">
        <f>'3 trim'!H13</f>
        <v>0</v>
      </c>
      <c r="H13" s="42">
        <f>'4 trim'!H13</f>
        <v>0</v>
      </c>
      <c r="I13" s="42">
        <f t="shared" si="0"/>
        <v>0</v>
      </c>
    </row>
    <row r="14" spans="1:9" ht="14.25" customHeight="1" x14ac:dyDescent="0.45">
      <c r="A14" s="12">
        <v>2027</v>
      </c>
      <c r="B14" s="26" t="str">
        <f>tab!B14</f>
        <v>+</v>
      </c>
      <c r="C14" s="27" t="str">
        <f>tab!C14</f>
        <v>Multas Contratuais</v>
      </c>
      <c r="D14" s="28"/>
      <c r="E14" s="42">
        <f>'1 trim'!H14</f>
        <v>0</v>
      </c>
      <c r="F14" s="42">
        <f>'2 trim'!H14</f>
        <v>0</v>
      </c>
      <c r="G14" s="42">
        <f>'3 trim'!H14</f>
        <v>0</v>
      </c>
      <c r="H14" s="42">
        <f>'4 trim'!H14</f>
        <v>0</v>
      </c>
      <c r="I14" s="42">
        <f t="shared" si="0"/>
        <v>0</v>
      </c>
    </row>
    <row r="15" spans="1:9" ht="14.25" customHeight="1" x14ac:dyDescent="0.45">
      <c r="A15" s="12">
        <v>2028</v>
      </c>
      <c r="B15" s="26" t="str">
        <f>tab!B15</f>
        <v>+</v>
      </c>
      <c r="C15" s="27" t="str">
        <f>tab!C15</f>
        <v>Multas Punitivas (Transito, Imetro, Ibama, Multas sobre ação fiscal)</v>
      </c>
      <c r="D15" s="28"/>
      <c r="E15" s="42">
        <f>'1 trim'!H15</f>
        <v>1000</v>
      </c>
      <c r="F15" s="42">
        <f>'2 trim'!H15</f>
        <v>0</v>
      </c>
      <c r="G15" s="42">
        <f>'3 trim'!H15</f>
        <v>200</v>
      </c>
      <c r="H15" s="42">
        <f>'4 trim'!H15</f>
        <v>300</v>
      </c>
      <c r="I15" s="42">
        <f t="shared" si="0"/>
        <v>375</v>
      </c>
    </row>
    <row r="16" spans="1:9" ht="14.25" customHeight="1" x14ac:dyDescent="0.45">
      <c r="A16" s="12">
        <v>2029</v>
      </c>
      <c r="B16" s="26" t="str">
        <f>tab!B16</f>
        <v>+</v>
      </c>
      <c r="C16" s="27" t="str">
        <f>tab!C16</f>
        <v>Orçamentos, Pedidos e qualquer documento não idôneo;</v>
      </c>
      <c r="D16" s="28"/>
      <c r="E16" s="42">
        <f>'1 trim'!H16</f>
        <v>0</v>
      </c>
      <c r="F16" s="42">
        <f>'2 trim'!H16</f>
        <v>0</v>
      </c>
      <c r="G16" s="42">
        <f>'3 trim'!H16</f>
        <v>0</v>
      </c>
      <c r="H16" s="42">
        <f>'4 trim'!H16</f>
        <v>0</v>
      </c>
      <c r="I16" s="42">
        <f t="shared" si="0"/>
        <v>0</v>
      </c>
    </row>
    <row r="17" spans="1:9" ht="14.25" customHeight="1" x14ac:dyDescent="0.45">
      <c r="A17" s="12">
        <v>2030</v>
      </c>
      <c r="B17" s="26" t="str">
        <f>tab!B17</f>
        <v>+</v>
      </c>
      <c r="C17" s="27" t="str">
        <f>tab!C17</f>
        <v>Provisões Indedutíveis (perdas, frete, propaganda)</v>
      </c>
      <c r="D17" s="28"/>
      <c r="E17" s="42">
        <f>'1 trim'!H17</f>
        <v>500</v>
      </c>
      <c r="F17" s="42">
        <f>'2 trim'!H17</f>
        <v>700</v>
      </c>
      <c r="G17" s="42">
        <f>'3 trim'!H17</f>
        <v>600</v>
      </c>
      <c r="H17" s="42">
        <f>'4 trim'!H17</f>
        <v>800</v>
      </c>
      <c r="I17" s="42">
        <f t="shared" si="0"/>
        <v>650</v>
      </c>
    </row>
    <row r="18" spans="1:9" ht="14.25" customHeight="1" x14ac:dyDescent="0.45">
      <c r="A18" s="12"/>
      <c r="B18" s="26" t="str">
        <f>tab!B18</f>
        <v>+</v>
      </c>
      <c r="C18" s="27" t="str">
        <f>tab!C18</f>
        <v>Recibos sem especificação da fonte recebedora;</v>
      </c>
      <c r="D18" s="28"/>
      <c r="E18" s="42">
        <f>'1 trim'!H18</f>
        <v>0</v>
      </c>
      <c r="F18" s="42">
        <f>'2 trim'!H18</f>
        <v>0</v>
      </c>
      <c r="G18" s="42">
        <f>'3 trim'!H18</f>
        <v>0</v>
      </c>
      <c r="H18" s="42">
        <f>'4 trim'!H18</f>
        <v>0</v>
      </c>
      <c r="I18" s="42">
        <f t="shared" si="0"/>
        <v>0</v>
      </c>
    </row>
    <row r="19" spans="1:9" ht="14.25" customHeight="1" x14ac:dyDescent="0.45">
      <c r="A19" s="12"/>
      <c r="B19" s="26" t="str">
        <f>tab!B19</f>
        <v>+</v>
      </c>
      <c r="C19" s="27" t="str">
        <f>tab!C19</f>
        <v>Verbas Rescisórias em desacordo com a legislação trabalhista vigente</v>
      </c>
      <c r="D19" s="28"/>
      <c r="E19" s="42">
        <f>'1 trim'!H19</f>
        <v>0</v>
      </c>
      <c r="F19" s="42">
        <f>'2 trim'!H19</f>
        <v>0</v>
      </c>
      <c r="G19" s="42">
        <f>'3 trim'!H19</f>
        <v>0</v>
      </c>
      <c r="H19" s="42">
        <f>'4 trim'!H19</f>
        <v>0</v>
      </c>
      <c r="I19" s="42">
        <f t="shared" si="0"/>
        <v>0</v>
      </c>
    </row>
    <row r="20" spans="1:9" s="4" customFormat="1" ht="14.25" customHeight="1" x14ac:dyDescent="0.45">
      <c r="A20" s="12"/>
      <c r="B20" s="23" t="str">
        <f>tab!B20</f>
        <v>=</v>
      </c>
      <c r="C20" s="24" t="str">
        <f>tab!C20</f>
        <v>Exclusões</v>
      </c>
      <c r="D20" s="25"/>
      <c r="E20" s="41">
        <f>'1 trim'!H20</f>
        <v>-20000</v>
      </c>
      <c r="F20" s="41">
        <f>'2 trim'!H20</f>
        <v>-5000</v>
      </c>
      <c r="G20" s="41">
        <f>'3 trim'!H20</f>
        <v>-10000</v>
      </c>
      <c r="H20" s="41">
        <f>'4 trim'!H20</f>
        <v>-25000</v>
      </c>
      <c r="I20" s="41">
        <f t="shared" si="0"/>
        <v>-15000</v>
      </c>
    </row>
    <row r="21" spans="1:9" ht="14.25" customHeight="1" x14ac:dyDescent="0.45">
      <c r="A21" s="12"/>
      <c r="B21" s="26" t="str">
        <f>tab!B21</f>
        <v>-</v>
      </c>
      <c r="C21" s="27" t="str">
        <f>tab!C21</f>
        <v>Ajustes credores de qualquer natureza</v>
      </c>
      <c r="D21" s="28"/>
      <c r="E21" s="42">
        <f>'1 trim'!H21</f>
        <v>0</v>
      </c>
      <c r="F21" s="42">
        <f>'2 trim'!H21</f>
        <v>0</v>
      </c>
      <c r="G21" s="42">
        <f>'3 trim'!H21</f>
        <v>0</v>
      </c>
      <c r="H21" s="42">
        <f>'4 trim'!H21</f>
        <v>0</v>
      </c>
      <c r="I21" s="42">
        <f t="shared" si="0"/>
        <v>0</v>
      </c>
    </row>
    <row r="22" spans="1:9" ht="14.25" customHeight="1" x14ac:dyDescent="0.45">
      <c r="A22" s="12"/>
      <c r="B22" s="26" t="str">
        <f>tab!B22</f>
        <v>-</v>
      </c>
      <c r="C22" s="27" t="str">
        <f>tab!C22</f>
        <v>Decisão Favorável - Processos Judiciais Tributários</v>
      </c>
      <c r="D22" s="28"/>
      <c r="E22" s="42">
        <f>'1 trim'!H22</f>
        <v>0</v>
      </c>
      <c r="F22" s="42">
        <f>'2 trim'!H22</f>
        <v>0</v>
      </c>
      <c r="G22" s="42">
        <f>'3 trim'!H22</f>
        <v>0</v>
      </c>
      <c r="H22" s="42">
        <f>'4 trim'!H22</f>
        <v>0</v>
      </c>
      <c r="I22" s="42">
        <f t="shared" si="0"/>
        <v>0</v>
      </c>
    </row>
    <row r="23" spans="1:9" ht="14.25" customHeight="1" x14ac:dyDescent="0.45">
      <c r="A23" s="12"/>
      <c r="B23" s="26" t="str">
        <f>tab!B23</f>
        <v>-</v>
      </c>
      <c r="C23" s="27" t="str">
        <f>tab!C23</f>
        <v>Despesas de Ágios</v>
      </c>
      <c r="D23" s="28"/>
      <c r="E23" s="42">
        <f>'1 trim'!H23</f>
        <v>0</v>
      </c>
      <c r="F23" s="42">
        <f>'2 trim'!H23</f>
        <v>0</v>
      </c>
      <c r="G23" s="42">
        <f>'3 trim'!H23</f>
        <v>0</v>
      </c>
      <c r="H23" s="42">
        <f>'4 trim'!H23</f>
        <v>0</v>
      </c>
      <c r="I23" s="42">
        <f t="shared" si="0"/>
        <v>0</v>
      </c>
    </row>
    <row r="24" spans="1:9" ht="14.25" customHeight="1" x14ac:dyDescent="0.45">
      <c r="A24" s="12"/>
      <c r="B24" s="26" t="str">
        <f>tab!B24</f>
        <v>-</v>
      </c>
      <c r="C24" s="27" t="str">
        <f>tab!C24</f>
        <v>Distribuição de Lucros e Dividendos;</v>
      </c>
      <c r="D24" s="28"/>
      <c r="E24" s="42">
        <f>'1 trim'!H24</f>
        <v>-20000</v>
      </c>
      <c r="F24" s="42">
        <f>'2 trim'!H24</f>
        <v>-5000</v>
      </c>
      <c r="G24" s="42">
        <f>'3 trim'!H24</f>
        <v>-10000</v>
      </c>
      <c r="H24" s="42">
        <f>'4 trim'!H24</f>
        <v>-25000</v>
      </c>
      <c r="I24" s="42">
        <f t="shared" si="0"/>
        <v>-15000</v>
      </c>
    </row>
    <row r="25" spans="1:9" ht="14.25" customHeight="1" x14ac:dyDescent="0.45">
      <c r="A25" s="12"/>
      <c r="B25" s="26" t="str">
        <f>tab!B25</f>
        <v>-</v>
      </c>
      <c r="C25" s="27" t="str">
        <f>tab!C25</f>
        <v>Dividendos Coligadas e Controladas</v>
      </c>
      <c r="D25" s="28"/>
      <c r="E25" s="42">
        <f>'1 trim'!H25</f>
        <v>0</v>
      </c>
      <c r="F25" s="42">
        <f>'2 trim'!H25</f>
        <v>0</v>
      </c>
      <c r="G25" s="42">
        <f>'3 trim'!H25</f>
        <v>0</v>
      </c>
      <c r="H25" s="42">
        <f>'4 trim'!H25</f>
        <v>0</v>
      </c>
      <c r="I25" s="42">
        <f t="shared" si="0"/>
        <v>0</v>
      </c>
    </row>
    <row r="26" spans="1:9" ht="14.25" customHeight="1" x14ac:dyDescent="0.45">
      <c r="A26" s="12"/>
      <c r="B26" s="26" t="str">
        <f>tab!B26</f>
        <v>-</v>
      </c>
      <c r="C26" s="27" t="str">
        <f>tab!C26</f>
        <v>Pagamento de Impostos em Atraso por iniciativa da Empresa</v>
      </c>
      <c r="D26" s="28"/>
      <c r="E26" s="42">
        <f>'1 trim'!H26</f>
        <v>0</v>
      </c>
      <c r="F26" s="42">
        <f>'2 trim'!H26</f>
        <v>0</v>
      </c>
      <c r="G26" s="42">
        <f>'3 trim'!H26</f>
        <v>0</v>
      </c>
      <c r="H26" s="42">
        <f>'4 trim'!H26</f>
        <v>0</v>
      </c>
      <c r="I26" s="42">
        <f t="shared" si="0"/>
        <v>0</v>
      </c>
    </row>
    <row r="27" spans="1:9" ht="14.25" customHeight="1" x14ac:dyDescent="0.45">
      <c r="A27" s="12"/>
      <c r="B27" s="26" t="str">
        <f>tab!B27</f>
        <v>-</v>
      </c>
      <c r="C27" s="27" t="str">
        <f>tab!C27</f>
        <v>Pagamento de Impostos sobre discussão judicial,</v>
      </c>
      <c r="D27" s="28"/>
      <c r="E27" s="42">
        <f>'1 trim'!H27</f>
        <v>0</v>
      </c>
      <c r="F27" s="42">
        <f>'2 trim'!H27</f>
        <v>0</v>
      </c>
      <c r="G27" s="42">
        <f>'3 trim'!H27</f>
        <v>0</v>
      </c>
      <c r="H27" s="42">
        <f>'4 trim'!H27</f>
        <v>0</v>
      </c>
      <c r="I27" s="42">
        <f t="shared" si="0"/>
        <v>0</v>
      </c>
    </row>
    <row r="28" spans="1:9" ht="14.25" customHeight="1" x14ac:dyDescent="0.45">
      <c r="A28" s="12"/>
      <c r="B28" s="26" t="str">
        <f>tab!B28</f>
        <v>-</v>
      </c>
      <c r="C28" s="27" t="str">
        <f>tab!C28</f>
        <v>Receita de Variação Cambial</v>
      </c>
      <c r="D28" s="28"/>
      <c r="E28" s="42">
        <f>'1 trim'!H28</f>
        <v>0</v>
      </c>
      <c r="F28" s="42">
        <f>'2 trim'!H28</f>
        <v>0</v>
      </c>
      <c r="G28" s="42">
        <f>'3 trim'!H28</f>
        <v>0</v>
      </c>
      <c r="H28" s="42">
        <f>'4 trim'!H28</f>
        <v>0</v>
      </c>
      <c r="I28" s="42">
        <f t="shared" si="0"/>
        <v>0</v>
      </c>
    </row>
    <row r="29" spans="1:9" ht="14.25" customHeight="1" x14ac:dyDescent="0.45">
      <c r="A29" s="12"/>
      <c r="B29" s="26" t="str">
        <f>tab!B29</f>
        <v>-</v>
      </c>
      <c r="C29" s="27" t="str">
        <f>tab!C29</f>
        <v>Receitas Obtidas com Tributação Exclusiva ou Isenta de IR</v>
      </c>
      <c r="D29" s="28"/>
      <c r="E29" s="42">
        <f>'1 trim'!H29</f>
        <v>0</v>
      </c>
      <c r="F29" s="42">
        <f>'2 trim'!H29</f>
        <v>0</v>
      </c>
      <c r="G29" s="42">
        <f>'3 trim'!H29</f>
        <v>0</v>
      </c>
      <c r="H29" s="42">
        <f>'4 trim'!H29</f>
        <v>0</v>
      </c>
      <c r="I29" s="42">
        <f t="shared" si="0"/>
        <v>0</v>
      </c>
    </row>
    <row r="30" spans="1:9" ht="14.25" customHeight="1" x14ac:dyDescent="0.45">
      <c r="A30" s="12"/>
      <c r="B30" s="26" t="str">
        <f>tab!B30</f>
        <v>-</v>
      </c>
      <c r="C30" s="27" t="str">
        <f>tab!C30</f>
        <v>Receitas que poderiam ser diferidas;</v>
      </c>
      <c r="D30" s="28"/>
      <c r="E30" s="42">
        <f>'1 trim'!H30</f>
        <v>0</v>
      </c>
      <c r="F30" s="42">
        <f>'2 trim'!H30</f>
        <v>0</v>
      </c>
      <c r="G30" s="42">
        <f>'3 trim'!H30</f>
        <v>0</v>
      </c>
      <c r="H30" s="42">
        <f>'4 trim'!H30</f>
        <v>0</v>
      </c>
      <c r="I30" s="42">
        <f t="shared" si="0"/>
        <v>0</v>
      </c>
    </row>
    <row r="31" spans="1:9" ht="14.25" customHeight="1" x14ac:dyDescent="0.45">
      <c r="A31" s="12"/>
      <c r="B31" s="26" t="str">
        <f>tab!B31</f>
        <v>-</v>
      </c>
      <c r="C31" s="27" t="str">
        <f>tab!C31</f>
        <v>Resultado Positivo de Equivalência Patrimonial</v>
      </c>
      <c r="D31" s="28"/>
      <c r="E31" s="42">
        <f>'1 trim'!H31</f>
        <v>0</v>
      </c>
      <c r="F31" s="42">
        <f>'2 trim'!H31</f>
        <v>0</v>
      </c>
      <c r="G31" s="42">
        <f>'3 trim'!H31</f>
        <v>0</v>
      </c>
      <c r="H31" s="42">
        <f>'4 trim'!H31</f>
        <v>0</v>
      </c>
      <c r="I31" s="42">
        <f t="shared" si="0"/>
        <v>0</v>
      </c>
    </row>
    <row r="32" spans="1:9" ht="14.25" customHeight="1" x14ac:dyDescent="0.45">
      <c r="A32" s="12"/>
      <c r="B32" s="26" t="str">
        <f>tab!B32</f>
        <v>-</v>
      </c>
      <c r="C32" s="27" t="str">
        <f>tab!C32</f>
        <v>Reversão de Provisões Indedutíveis</v>
      </c>
      <c r="D32" s="28"/>
      <c r="E32" s="42">
        <f>'1 trim'!H32</f>
        <v>0</v>
      </c>
      <c r="F32" s="42">
        <f>'2 trim'!H32</f>
        <v>0</v>
      </c>
      <c r="G32" s="42">
        <f>'3 trim'!H32</f>
        <v>0</v>
      </c>
      <c r="H32" s="42">
        <f>'4 trim'!H32</f>
        <v>0</v>
      </c>
      <c r="I32" s="42">
        <f t="shared" si="0"/>
        <v>0</v>
      </c>
    </row>
    <row r="33" spans="1:9" ht="14.25" customHeight="1" x14ac:dyDescent="0.45">
      <c r="A33" s="12"/>
      <c r="B33" s="26" t="str">
        <f>tab!B33</f>
        <v>-</v>
      </c>
      <c r="C33" s="27" t="str">
        <f>tab!C33</f>
        <v>Vendas Não Expedidas do Período</v>
      </c>
      <c r="D33" s="28"/>
      <c r="E33" s="42">
        <f>'1 trim'!H33</f>
        <v>0</v>
      </c>
      <c r="F33" s="42">
        <f>'2 trim'!H33</f>
        <v>0</v>
      </c>
      <c r="G33" s="42">
        <f>'3 trim'!H33</f>
        <v>0</v>
      </c>
      <c r="H33" s="42">
        <f>'4 trim'!H33</f>
        <v>0</v>
      </c>
      <c r="I33" s="42">
        <f t="shared" si="0"/>
        <v>0</v>
      </c>
    </row>
    <row r="34" spans="1:9" s="4" customFormat="1" ht="14.25" customHeight="1" x14ac:dyDescent="0.45">
      <c r="A34" s="12"/>
      <c r="B34" s="23" t="str">
        <f>tab!B34</f>
        <v>=</v>
      </c>
      <c r="C34" s="24" t="str">
        <f>tab!C34</f>
        <v>Base de Cálculo</v>
      </c>
      <c r="D34" s="25"/>
      <c r="E34" s="41">
        <f>'1 trim'!H34</f>
        <v>67200</v>
      </c>
      <c r="F34" s="41">
        <f>'2 trim'!H34</f>
        <v>-40100</v>
      </c>
      <c r="G34" s="41">
        <f>'3 trim'!H34</f>
        <v>66200</v>
      </c>
      <c r="H34" s="41">
        <f>'4 trim'!H34</f>
        <v>99600</v>
      </c>
      <c r="I34" s="41">
        <f t="shared" si="0"/>
        <v>48225</v>
      </c>
    </row>
    <row r="35" spans="1:9" s="4" customFormat="1" ht="14.25" customHeight="1" x14ac:dyDescent="0.45">
      <c r="A35" s="12"/>
      <c r="B35" s="23" t="str">
        <f>tab!B35</f>
        <v>=</v>
      </c>
      <c r="C35" s="24" t="str">
        <f>tab!C35</f>
        <v>Saldo Prejuízo Fiscal</v>
      </c>
      <c r="D35" s="34"/>
      <c r="E35" s="41">
        <f>'1 trim'!H35</f>
        <v>0</v>
      </c>
      <c r="F35" s="41">
        <f>'2 trim'!H35</f>
        <v>0</v>
      </c>
      <c r="G35" s="41">
        <f>'3 trim'!H35</f>
        <v>40100</v>
      </c>
      <c r="H35" s="41">
        <f>'4 trim'!H35</f>
        <v>20240</v>
      </c>
      <c r="I35" s="41">
        <f t="shared" si="0"/>
        <v>15085</v>
      </c>
    </row>
    <row r="36" spans="1:9" s="4" customFormat="1" ht="14.25" customHeight="1" x14ac:dyDescent="0.45">
      <c r="A36" s="12"/>
      <c r="B36" s="23" t="str">
        <f>tab!B36</f>
        <v>%</v>
      </c>
      <c r="C36" s="24" t="str">
        <f>tab!C36</f>
        <v>Compensação de Prejuízo Fiscal</v>
      </c>
      <c r="D36" s="25">
        <f>tab!D36</f>
        <v>0.3</v>
      </c>
      <c r="E36" s="41">
        <f>'1 trim'!H36</f>
        <v>0</v>
      </c>
      <c r="F36" s="41">
        <f>'2 trim'!H36</f>
        <v>0</v>
      </c>
      <c r="G36" s="41">
        <f>'3 trim'!H36</f>
        <v>-19860</v>
      </c>
      <c r="H36" s="41">
        <f>'4 trim'!H36</f>
        <v>-20240</v>
      </c>
      <c r="I36" s="41">
        <f t="shared" si="0"/>
        <v>-10025</v>
      </c>
    </row>
    <row r="37" spans="1:9" s="4" customFormat="1" ht="14.25" customHeight="1" x14ac:dyDescent="0.45">
      <c r="A37" s="12"/>
      <c r="B37" s="23" t="str">
        <f>tab!B37</f>
        <v>%</v>
      </c>
      <c r="C37" s="24" t="str">
        <f>tab!C37</f>
        <v>Adicional de Imposto de Renda</v>
      </c>
      <c r="D37" s="25">
        <f>tab!D37</f>
        <v>0.1</v>
      </c>
      <c r="E37" s="41">
        <f>'1 trim'!H37</f>
        <v>720</v>
      </c>
      <c r="F37" s="41">
        <f>'2 trim'!H37</f>
        <v>0</v>
      </c>
      <c r="G37" s="41">
        <f>'3 trim'!H37</f>
        <v>0</v>
      </c>
      <c r="H37" s="41">
        <f>'4 trim'!H37</f>
        <v>1936</v>
      </c>
      <c r="I37" s="41">
        <f t="shared" si="0"/>
        <v>664</v>
      </c>
    </row>
    <row r="38" spans="1:9" s="4" customFormat="1" ht="14.25" customHeight="1" x14ac:dyDescent="0.45">
      <c r="A38" s="12"/>
      <c r="B38" s="23" t="str">
        <f>tab!B38</f>
        <v>%</v>
      </c>
      <c r="C38" s="24" t="str">
        <f>tab!C38</f>
        <v>Imposto de Renda</v>
      </c>
      <c r="D38" s="25">
        <f>tab!D38</f>
        <v>0.15</v>
      </c>
      <c r="E38" s="41">
        <f>'1 trim'!H38</f>
        <v>10080</v>
      </c>
      <c r="F38" s="41">
        <f>'2 trim'!H38</f>
        <v>0</v>
      </c>
      <c r="G38" s="41">
        <f>'3 trim'!H38</f>
        <v>6951</v>
      </c>
      <c r="H38" s="41">
        <f>'4 trim'!H38</f>
        <v>11904</v>
      </c>
      <c r="I38" s="41">
        <f t="shared" si="0"/>
        <v>7233.75</v>
      </c>
    </row>
    <row r="39" spans="1:9" s="4" customFormat="1" ht="14.25" customHeight="1" x14ac:dyDescent="0.45">
      <c r="A39" s="12"/>
      <c r="B39" s="23" t="str">
        <f>tab!B39</f>
        <v>%</v>
      </c>
      <c r="C39" s="24" t="str">
        <f>tab!C39</f>
        <v>Contribuição Social</v>
      </c>
      <c r="D39" s="25">
        <f>tab!D39</f>
        <v>0.09</v>
      </c>
      <c r="E39" s="41">
        <f>'1 trim'!H39</f>
        <v>6048</v>
      </c>
      <c r="F39" s="41">
        <f>'2 trim'!H39</f>
        <v>0</v>
      </c>
      <c r="G39" s="41">
        <f>'3 trim'!H39</f>
        <v>4170.5999999999995</v>
      </c>
      <c r="H39" s="41">
        <f>'4 trim'!H39</f>
        <v>7142.4</v>
      </c>
      <c r="I39" s="41">
        <f t="shared" si="0"/>
        <v>4340.25</v>
      </c>
    </row>
    <row r="40" spans="1:9" ht="14.25" customHeight="1" x14ac:dyDescent="0.45">
      <c r="A40" s="12"/>
      <c r="B40" s="26" t="str">
        <f>tab!B40</f>
        <v>=</v>
      </c>
      <c r="C40" s="27" t="str">
        <f>tab!C40</f>
        <v>Compensações</v>
      </c>
      <c r="D40" s="28"/>
      <c r="E40" s="42">
        <f>'1 trim'!H40</f>
        <v>-19000</v>
      </c>
      <c r="F40" s="42">
        <f>'2 trim'!H40</f>
        <v>0</v>
      </c>
      <c r="G40" s="42">
        <f>'3 trim'!H40</f>
        <v>-2300</v>
      </c>
      <c r="H40" s="42">
        <f>'4 trim'!H40</f>
        <v>0</v>
      </c>
      <c r="I40" s="42">
        <f t="shared" si="0"/>
        <v>-5325</v>
      </c>
    </row>
    <row r="41" spans="1:9" ht="14.25" customHeight="1" x14ac:dyDescent="0.45">
      <c r="A41" s="12"/>
      <c r="B41" s="26" t="str">
        <f>tab!B41</f>
        <v>-</v>
      </c>
      <c r="C41" s="27" t="str">
        <f>tab!C41</f>
        <v>IR Base Negativa Exercícios Anteriores</v>
      </c>
      <c r="D41" s="33" t="str">
        <f>LEFT(C41,2)</f>
        <v>IR</v>
      </c>
      <c r="E41" s="42">
        <f>'1 trim'!H41</f>
        <v>0</v>
      </c>
      <c r="F41" s="42">
        <f>'2 trim'!H41</f>
        <v>0</v>
      </c>
      <c r="G41" s="42">
        <f>'3 trim'!H41</f>
        <v>0</v>
      </c>
      <c r="H41" s="42">
        <f>'4 trim'!H41</f>
        <v>0</v>
      </c>
      <c r="I41" s="42">
        <f t="shared" si="0"/>
        <v>0</v>
      </c>
    </row>
    <row r="42" spans="1:9" ht="14.25" customHeight="1" x14ac:dyDescent="0.45">
      <c r="A42" s="12"/>
      <c r="B42" s="26" t="str">
        <f>tab!B42</f>
        <v>-</v>
      </c>
      <c r="C42" s="27" t="str">
        <f>tab!C42</f>
        <v>IR s/ Aplicações Financeiras</v>
      </c>
      <c r="D42" s="33" t="str">
        <f t="shared" ref="D42:D47" si="1">LEFT(C42,2)</f>
        <v>IR</v>
      </c>
      <c r="E42" s="42">
        <f>'1 trim'!H42</f>
        <v>0</v>
      </c>
      <c r="F42" s="42">
        <f>'2 trim'!H42</f>
        <v>0</v>
      </c>
      <c r="G42" s="42">
        <f>'3 trim'!H42</f>
        <v>0</v>
      </c>
      <c r="H42" s="42">
        <f>'4 trim'!H42</f>
        <v>0</v>
      </c>
      <c r="I42" s="42">
        <f t="shared" si="0"/>
        <v>0</v>
      </c>
    </row>
    <row r="43" spans="1:9" ht="14.25" customHeight="1" x14ac:dyDescent="0.45">
      <c r="A43" s="12"/>
      <c r="B43" s="26" t="str">
        <f>tab!B43</f>
        <v>-</v>
      </c>
      <c r="C43" s="27" t="str">
        <f>tab!C43</f>
        <v xml:space="preserve">IR Retida s/ Notas Fiscais </v>
      </c>
      <c r="D43" s="33" t="str">
        <f t="shared" si="1"/>
        <v>IR</v>
      </c>
      <c r="E43" s="42">
        <f>'1 trim'!H43</f>
        <v>-12000</v>
      </c>
      <c r="F43" s="42">
        <f>'2 trim'!H43</f>
        <v>0</v>
      </c>
      <c r="G43" s="42">
        <f>'3 trim'!H43</f>
        <v>-1500</v>
      </c>
      <c r="H43" s="42">
        <f>'4 trim'!H43</f>
        <v>0</v>
      </c>
      <c r="I43" s="42">
        <f t="shared" si="0"/>
        <v>-3375</v>
      </c>
    </row>
    <row r="44" spans="1:9" ht="14.25" customHeight="1" x14ac:dyDescent="0.45">
      <c r="A44" s="12"/>
      <c r="B44" s="26" t="str">
        <f>tab!B44</f>
        <v>-</v>
      </c>
      <c r="C44" s="27" t="str">
        <f>tab!C44</f>
        <v>IR Pago no Exercício</v>
      </c>
      <c r="D44" s="33" t="str">
        <f t="shared" si="1"/>
        <v>IR</v>
      </c>
      <c r="E44" s="42">
        <f>'1 trim'!H44</f>
        <v>0</v>
      </c>
      <c r="F44" s="42">
        <f>'2 trim'!H44</f>
        <v>0</v>
      </c>
      <c r="G44" s="42">
        <f>'3 trim'!H44</f>
        <v>0</v>
      </c>
      <c r="H44" s="42">
        <f>'4 trim'!H44</f>
        <v>0</v>
      </c>
      <c r="I44" s="42">
        <f t="shared" si="0"/>
        <v>0</v>
      </c>
    </row>
    <row r="45" spans="1:9" ht="14.25" customHeight="1" x14ac:dyDescent="0.45">
      <c r="A45" s="12"/>
      <c r="B45" s="26" t="str">
        <f>tab!B45</f>
        <v>-</v>
      </c>
      <c r="C45" s="27" t="str">
        <f>tab!C45</f>
        <v>CS Base Negativa Exercícios Anteriores</v>
      </c>
      <c r="D45" s="33" t="str">
        <f t="shared" si="1"/>
        <v>CS</v>
      </c>
      <c r="E45" s="42">
        <f>'1 trim'!H45</f>
        <v>0</v>
      </c>
      <c r="F45" s="42">
        <f>'2 trim'!H45</f>
        <v>0</v>
      </c>
      <c r="G45" s="42">
        <f>'3 trim'!H45</f>
        <v>0</v>
      </c>
      <c r="H45" s="42">
        <f>'4 trim'!H45</f>
        <v>0</v>
      </c>
      <c r="I45" s="42">
        <f t="shared" si="0"/>
        <v>0</v>
      </c>
    </row>
    <row r="46" spans="1:9" ht="14.25" customHeight="1" x14ac:dyDescent="0.45">
      <c r="A46" s="12"/>
      <c r="B46" s="26" t="str">
        <f>tab!B46</f>
        <v>-</v>
      </c>
      <c r="C46" s="27" t="str">
        <f>tab!C46</f>
        <v>CS Retida s/ Notas Fiscais</v>
      </c>
      <c r="D46" s="33" t="str">
        <f t="shared" si="1"/>
        <v>CS</v>
      </c>
      <c r="E46" s="42">
        <f>'1 trim'!H46</f>
        <v>-7000</v>
      </c>
      <c r="F46" s="42">
        <f>'2 trim'!H46</f>
        <v>0</v>
      </c>
      <c r="G46" s="42">
        <f>'3 trim'!H46</f>
        <v>-800</v>
      </c>
      <c r="H46" s="42">
        <f>'4 trim'!H46</f>
        <v>0</v>
      </c>
      <c r="I46" s="42">
        <f t="shared" si="0"/>
        <v>-1950</v>
      </c>
    </row>
    <row r="47" spans="1:9" ht="14.25" customHeight="1" x14ac:dyDescent="0.45">
      <c r="A47" s="12"/>
      <c r="B47" s="26" t="str">
        <f>tab!B47</f>
        <v>-</v>
      </c>
      <c r="C47" s="27" t="str">
        <f>tab!C47</f>
        <v>CS Pago no Exercício</v>
      </c>
      <c r="D47" s="33" t="str">
        <f t="shared" si="1"/>
        <v>CS</v>
      </c>
      <c r="E47" s="42">
        <f>'1 trim'!H47</f>
        <v>0</v>
      </c>
      <c r="F47" s="42">
        <f>'2 trim'!H47</f>
        <v>0</v>
      </c>
      <c r="G47" s="42">
        <f>'3 trim'!H47</f>
        <v>0</v>
      </c>
      <c r="H47" s="42">
        <f>'4 trim'!H47</f>
        <v>0</v>
      </c>
      <c r="I47" s="42">
        <f t="shared" si="0"/>
        <v>0</v>
      </c>
    </row>
    <row r="48" spans="1:9" s="4" customFormat="1" ht="14.25" customHeight="1" x14ac:dyDescent="0.45">
      <c r="A48" s="12"/>
      <c r="B48" s="23" t="str">
        <f>tab!B48</f>
        <v>=</v>
      </c>
      <c r="C48" s="24" t="str">
        <f>tab!C48</f>
        <v>Imposto de Renda a Pagar</v>
      </c>
      <c r="D48" s="25"/>
      <c r="E48" s="41">
        <f>'1 trim'!H48</f>
        <v>0</v>
      </c>
      <c r="F48" s="41">
        <f>'2 trim'!H48</f>
        <v>0</v>
      </c>
      <c r="G48" s="41">
        <f>'3 trim'!H48</f>
        <v>5451</v>
      </c>
      <c r="H48" s="41">
        <f>'4 trim'!H48</f>
        <v>13840</v>
      </c>
      <c r="I48" s="41">
        <f t="shared" si="0"/>
        <v>4822.75</v>
      </c>
    </row>
    <row r="49" spans="1:9" s="4" customFormat="1" ht="14.25" customHeight="1" x14ac:dyDescent="0.45">
      <c r="A49" s="12"/>
      <c r="B49" s="23" t="str">
        <f>tab!B49</f>
        <v>=</v>
      </c>
      <c r="C49" s="24" t="str">
        <f>tab!C49</f>
        <v>Contribuição Social a Pagar</v>
      </c>
      <c r="D49" s="25"/>
      <c r="E49" s="41">
        <f>'1 trim'!H49</f>
        <v>0</v>
      </c>
      <c r="F49" s="41">
        <f>'2 trim'!H49</f>
        <v>0</v>
      </c>
      <c r="G49" s="41">
        <f>'3 trim'!H49</f>
        <v>3370.5999999999995</v>
      </c>
      <c r="H49" s="41">
        <f>'4 trim'!H49</f>
        <v>7142.4</v>
      </c>
      <c r="I49" s="41">
        <f t="shared" si="0"/>
        <v>2628.25</v>
      </c>
    </row>
  </sheetData>
  <sheetProtection algorithmName="SHA-512" hashValue="OLdFEujE+5vmYhy9vFv6b8tgrQX8zknhgPuOi80Kg63YpkF+qd90fl3besgTkNOI7iUXc0WjVSFMFAvk7WvkFQ==" saltValue="sc8nO4Vcqxdu00ssjqPmLA==" spinCount="100000" sheet="1" objects="1" scenarios="1" selectLockedCells="1"/>
  <hyperlinks>
    <hyperlink ref="A2" r:id="rId1" xr:uid="{45EA05EA-4CA0-4F93-8A00-201ABC363DA6}"/>
  </hyperlinks>
  <pageMargins left="0.25" right="0.25" top="0.75" bottom="0.75" header="0.3" footer="0.3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"/>
  <dimension ref="A1:P13"/>
  <sheetViews>
    <sheetView showGridLines="0" workbookViewId="0"/>
  </sheetViews>
  <sheetFormatPr defaultColWidth="9.1796875" defaultRowHeight="16" x14ac:dyDescent="0.45"/>
  <cols>
    <col min="1" max="1" width="3.7265625" style="12" customWidth="1"/>
    <col min="2" max="2" width="1.81640625" style="12" hidden="1" customWidth="1"/>
    <col min="3" max="3" width="9.1796875" style="9" customWidth="1"/>
    <col min="4" max="6" width="9.453125" style="9" bestFit="1" customWidth="1"/>
    <col min="7" max="7" width="10.08984375" style="9" bestFit="1" customWidth="1"/>
    <col min="8" max="15" width="9.1796875" style="9" customWidth="1"/>
    <col min="16" max="16384" width="9.1796875" style="9"/>
  </cols>
  <sheetData>
    <row r="1" spans="1:16" s="10" customFormat="1" ht="39" customHeight="1" x14ac:dyDescent="0.45">
      <c r="A1" s="20"/>
      <c r="B1" s="20"/>
    </row>
    <row r="2" spans="1:16" ht="15" customHeight="1" x14ac:dyDescent="0.45">
      <c r="A2" s="35" t="s">
        <v>5</v>
      </c>
      <c r="B2" s="21"/>
    </row>
    <row r="3" spans="1:16" ht="30" customHeight="1" x14ac:dyDescent="0.45">
      <c r="C3" s="16" t="s">
        <v>89</v>
      </c>
    </row>
    <row r="4" spans="1:16" x14ac:dyDescent="0.45">
      <c r="A4" s="54"/>
      <c r="B4" s="54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x14ac:dyDescent="0.45">
      <c r="A5" s="54"/>
      <c r="B5" s="58">
        <v>1</v>
      </c>
      <c r="C5" s="36" t="str">
        <f>tab!C5</f>
        <v>Lucro Acumulado</v>
      </c>
      <c r="D5" s="37">
        <f>result!E5</f>
        <v>80000</v>
      </c>
      <c r="E5" s="37">
        <f>result!F5</f>
        <v>-40000</v>
      </c>
      <c r="F5" s="37">
        <f>result!G5</f>
        <v>70000</v>
      </c>
      <c r="G5" s="37">
        <f>result!H5</f>
        <v>110000</v>
      </c>
      <c r="H5" s="52"/>
      <c r="I5" s="52"/>
      <c r="J5" s="52"/>
      <c r="K5" s="52"/>
      <c r="L5" s="52"/>
      <c r="M5" s="52"/>
      <c r="N5" s="52"/>
      <c r="O5" s="52"/>
      <c r="P5" s="57"/>
    </row>
    <row r="6" spans="1:16" x14ac:dyDescent="0.45">
      <c r="A6" s="54"/>
      <c r="B6" s="59"/>
      <c r="C6" s="36" t="str">
        <f>tab!C48</f>
        <v>Imposto de Renda a Pagar</v>
      </c>
      <c r="D6" s="38">
        <f>result!E48</f>
        <v>0</v>
      </c>
      <c r="E6" s="38">
        <f>result!F48</f>
        <v>0</v>
      </c>
      <c r="F6" s="38">
        <f>result!G48</f>
        <v>5451</v>
      </c>
      <c r="G6" s="38">
        <f>result!H48</f>
        <v>13840</v>
      </c>
      <c r="H6" s="53"/>
      <c r="I6" s="53"/>
      <c r="J6" s="53"/>
      <c r="K6" s="53"/>
      <c r="L6" s="53"/>
      <c r="M6" s="53"/>
      <c r="N6" s="53"/>
      <c r="O6" s="53"/>
      <c r="P6" s="57"/>
    </row>
    <row r="7" spans="1:16" x14ac:dyDescent="0.45">
      <c r="A7" s="54"/>
      <c r="B7" s="59"/>
      <c r="C7" s="36" t="str">
        <f>tab!C49</f>
        <v>Contribuição Social a Pagar</v>
      </c>
      <c r="D7" s="38">
        <f>result!E49</f>
        <v>0</v>
      </c>
      <c r="E7" s="38">
        <f>result!F49</f>
        <v>0</v>
      </c>
      <c r="F7" s="38">
        <f>result!G49</f>
        <v>3370.5999999999995</v>
      </c>
      <c r="G7" s="38">
        <f>result!H49</f>
        <v>7142.4</v>
      </c>
      <c r="H7" s="53"/>
      <c r="I7" s="53"/>
      <c r="J7" s="53"/>
      <c r="K7" s="53"/>
      <c r="L7" s="53"/>
      <c r="M7" s="53"/>
      <c r="N7" s="53"/>
      <c r="O7" s="53"/>
      <c r="P7" s="57"/>
    </row>
    <row r="8" spans="1:16" x14ac:dyDescent="0.45">
      <c r="A8" s="54"/>
      <c r="B8" s="59"/>
      <c r="C8" s="12"/>
      <c r="D8" s="39" t="s">
        <v>85</v>
      </c>
      <c r="E8" s="39" t="s">
        <v>86</v>
      </c>
      <c r="F8" s="39" t="s">
        <v>87</v>
      </c>
      <c r="G8" s="39" t="s">
        <v>88</v>
      </c>
      <c r="H8" s="56"/>
      <c r="I8" s="56"/>
      <c r="J8" s="56"/>
      <c r="K8" s="56"/>
      <c r="L8" s="56"/>
      <c r="M8" s="56"/>
      <c r="N8" s="56"/>
      <c r="O8" s="56"/>
      <c r="P8" s="57"/>
    </row>
    <row r="9" spans="1:16" x14ac:dyDescent="0.45">
      <c r="A9" s="54"/>
      <c r="B9" s="54"/>
      <c r="C9" s="12" t="str">
        <f>INDEX(C5:C7,B5,0)</f>
        <v>Lucro Acumulado</v>
      </c>
      <c r="D9" s="38">
        <f t="shared" ref="D9:G9" si="0">VLOOKUP($C$9,$C$5:$O$7,MATCH(D8,$C$8:$O$8,0),0)</f>
        <v>80000</v>
      </c>
      <c r="E9" s="38">
        <f t="shared" si="0"/>
        <v>-40000</v>
      </c>
      <c r="F9" s="38">
        <f t="shared" si="0"/>
        <v>70000</v>
      </c>
      <c r="G9" s="38">
        <f t="shared" si="0"/>
        <v>110000</v>
      </c>
      <c r="H9" s="53"/>
      <c r="I9" s="53"/>
      <c r="J9" s="53"/>
      <c r="K9" s="53"/>
      <c r="L9" s="53"/>
      <c r="M9" s="53"/>
      <c r="N9" s="53"/>
      <c r="O9" s="53"/>
      <c r="P9" s="57"/>
    </row>
    <row r="10" spans="1:16" x14ac:dyDescent="0.45">
      <c r="A10" s="54"/>
      <c r="B10" s="54"/>
      <c r="C10" s="12" t="s">
        <v>72</v>
      </c>
      <c r="D10" s="61">
        <f>AVERAGE($D$9:$O$9)</f>
        <v>55000</v>
      </c>
      <c r="E10" s="61">
        <f t="shared" ref="E10:G10" si="1">AVERAGE($D$9:$O$9)</f>
        <v>55000</v>
      </c>
      <c r="F10" s="61">
        <f t="shared" si="1"/>
        <v>55000</v>
      </c>
      <c r="G10" s="61">
        <f t="shared" si="1"/>
        <v>55000</v>
      </c>
      <c r="H10" s="60"/>
      <c r="I10" s="60"/>
      <c r="J10" s="60"/>
      <c r="K10" s="60"/>
      <c r="L10" s="60"/>
      <c r="M10" s="60"/>
      <c r="N10" s="60"/>
      <c r="O10" s="60"/>
      <c r="P10" s="57"/>
    </row>
    <row r="11" spans="1:16" x14ac:dyDescent="0.45">
      <c r="A11" s="54"/>
      <c r="B11" s="54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6" x14ac:dyDescent="0.45">
      <c r="A12" s="54"/>
      <c r="B12" s="5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6" x14ac:dyDescent="0.45">
      <c r="A13" s="54"/>
      <c r="B13" s="54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</sheetData>
  <sheetProtection algorithmName="SHA-512" hashValue="mZzLXsDHFnlDsdInikoIlBKJ+U4J4h/BJls4EJnkjbGm6P751MFgqqFKvnG6qFFKfis1NrvXZrH5WY6fjYX4AQ==" saltValue="HHu7yGvmAX5QDCzONzr/Vw==" spinCount="100000" sheet="1" objects="1" scenarios="1" selectLockedCells="1"/>
  <hyperlinks>
    <hyperlink ref="A2" r:id="rId1" xr:uid="{F685C8AA-1158-486E-A233-D0506FBC86C6}"/>
  </hyperlinks>
  <pageMargins left="0.511811024" right="0.511811024" top="0.78740157499999996" bottom="0.78740157499999996" header="0.31496062000000002" footer="0.31496062000000002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Drop Down 1">
              <controlPr defaultSize="0" autoLine="0" autoPict="0">
                <anchor moveWithCells="1">
                  <from>
                    <xdr:col>2</xdr:col>
                    <xdr:colOff>38100</xdr:colOff>
                    <xdr:row>3</xdr:row>
                    <xdr:rowOff>177800</xdr:rowOff>
                  </from>
                  <to>
                    <xdr:col>4</xdr:col>
                    <xdr:colOff>444500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I11"/>
  <sheetViews>
    <sheetView showGridLines="0" workbookViewId="0"/>
  </sheetViews>
  <sheetFormatPr defaultColWidth="9.1796875" defaultRowHeight="16" x14ac:dyDescent="0.45"/>
  <cols>
    <col min="1" max="1" width="3.7265625" style="9" customWidth="1"/>
    <col min="2" max="2" width="2.54296875" style="9" bestFit="1" customWidth="1"/>
    <col min="3" max="3" width="13" style="9" customWidth="1"/>
    <col min="4" max="4" width="2.7265625" style="9" customWidth="1"/>
    <col min="5" max="5" width="14.1796875" style="9" customWidth="1"/>
    <col min="6" max="15" width="11.26953125" style="9" bestFit="1" customWidth="1"/>
    <col min="16" max="16384" width="9.1796875" style="9"/>
  </cols>
  <sheetData>
    <row r="1" spans="1:9" s="10" customFormat="1" ht="39" customHeight="1" x14ac:dyDescent="0.45"/>
    <row r="2" spans="1:9" x14ac:dyDescent="0.45">
      <c r="A2" s="5" t="s">
        <v>5</v>
      </c>
    </row>
    <row r="3" spans="1:9" ht="30" customHeight="1" x14ac:dyDescent="0.45">
      <c r="A3" s="12"/>
      <c r="C3" s="16" t="s">
        <v>90</v>
      </c>
    </row>
    <row r="5" spans="1:9" x14ac:dyDescent="0.45">
      <c r="B5" s="31" t="s">
        <v>73</v>
      </c>
      <c r="C5" s="9" t="s">
        <v>74</v>
      </c>
    </row>
    <row r="6" spans="1:9" ht="17" customHeight="1" thickBot="1" x14ac:dyDescent="0.5"/>
    <row r="7" spans="1:9" ht="16.5" thickTop="1" x14ac:dyDescent="0.45">
      <c r="C7" s="22" t="s">
        <v>75</v>
      </c>
      <c r="D7" s="44"/>
      <c r="E7" s="62" t="str">
        <f>graf!$C$9</f>
        <v>Lucro Acumulado</v>
      </c>
      <c r="F7" s="40" t="s">
        <v>85</v>
      </c>
      <c r="G7" s="22" t="s">
        <v>86</v>
      </c>
      <c r="H7" s="22" t="s">
        <v>87</v>
      </c>
      <c r="I7" s="22" t="s">
        <v>88</v>
      </c>
    </row>
    <row r="8" spans="1:9" x14ac:dyDescent="0.45">
      <c r="C8" s="26">
        <f>graf!$D$10</f>
        <v>55000</v>
      </c>
      <c r="E8" s="63"/>
      <c r="F8" s="42">
        <f>graf!D9</f>
        <v>80000</v>
      </c>
      <c r="G8" s="42">
        <f>graf!E9</f>
        <v>-40000</v>
      </c>
      <c r="H8" s="42">
        <f>graf!F9</f>
        <v>70000</v>
      </c>
      <c r="I8" s="42">
        <f>graf!G9</f>
        <v>110000</v>
      </c>
    </row>
    <row r="9" spans="1:9" x14ac:dyDescent="0.45">
      <c r="B9"/>
    </row>
    <row r="11" spans="1:9" x14ac:dyDescent="0.45">
      <c r="B11" s="31" t="s">
        <v>76</v>
      </c>
      <c r="C11" s="9" t="s">
        <v>77</v>
      </c>
    </row>
  </sheetData>
  <sheetProtection algorithmName="SHA-512" hashValue="/rtdFXRQGNXoeSdpsWMGd/n1jV7h21ww+sF31gDT7w9RiuC/XQ8kDGGShpZr0kz+Xo0x246GbHGQoZwouikWAw==" saltValue="HGh+HvWNzN0T6cpfa+ywMg==" spinCount="100000" sheet="1" objects="1" scenarios="1" selectLockedCells="1"/>
  <mergeCells count="1">
    <mergeCell ref="E7:E8"/>
  </mergeCells>
  <hyperlinks>
    <hyperlink ref="A2" r:id="rId1" xr:uid="{CC1F4D3B-6F81-45E4-A49B-A411048E6210}"/>
  </hyperlinks>
  <pageMargins left="0.511811024" right="0.511811024" top="0.78740157499999996" bottom="0.78740157499999996" header="0.31496062000000002" footer="0.31496062000000002"/>
  <pageSetup paperSize="9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96B2-8D15-4635-B4DB-C4A26D1251B6}">
  <sheetPr codeName="Planilha18"/>
  <dimension ref="A1:B4"/>
  <sheetViews>
    <sheetView showGridLines="0" workbookViewId="0"/>
  </sheetViews>
  <sheetFormatPr defaultColWidth="9.1796875" defaultRowHeight="16" x14ac:dyDescent="0.45"/>
  <cols>
    <col min="1" max="1" width="3.7265625" style="9" customWidth="1"/>
    <col min="2" max="2" width="6.453125" style="9" customWidth="1"/>
    <col min="3" max="16384" width="9.1796875" style="9"/>
  </cols>
  <sheetData>
    <row r="1" spans="1:2" s="10" customFormat="1" ht="39" customHeight="1" x14ac:dyDescent="0.45"/>
    <row r="2" spans="1:2" ht="15" customHeight="1" x14ac:dyDescent="0.45">
      <c r="A2" s="17" t="s">
        <v>5</v>
      </c>
    </row>
    <row r="3" spans="1:2" ht="30" customHeight="1" x14ac:dyDescent="0.45"/>
    <row r="4" spans="1:2" x14ac:dyDescent="0.45">
      <c r="B4" s="18" t="s">
        <v>8</v>
      </c>
    </row>
  </sheetData>
  <sheetProtection algorithmName="SHA-512" hashValue="P+nuAcmQXc+xHlklThLzS+oz9UGcgNLDqLdXxLRyiFZ5v6w9JBp6P/mCXN8g1L1DQdJkkxGjSasBkgXoFNu3gQ==" saltValue="ZuevwtWTSWgOOuLxrHfGpg==" spinCount="100000" sheet="1" objects="1" scenarios="1" selectLockedCells="1"/>
  <hyperlinks>
    <hyperlink ref="A2" r:id="rId1" xr:uid="{ADAA4886-F28D-41C5-BD81-C95190B69A69}"/>
  </hyperlink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inicio</vt:lpstr>
      <vt:lpstr>tab</vt:lpstr>
      <vt:lpstr>1 trim</vt:lpstr>
      <vt:lpstr>2 trim</vt:lpstr>
      <vt:lpstr>3 trim</vt:lpstr>
      <vt:lpstr>4 trim</vt:lpstr>
      <vt:lpstr>result</vt:lpstr>
      <vt:lpstr>graf</vt:lpstr>
      <vt:lpstr>imp</vt:lpstr>
      <vt:lpstr>sobre</vt:lpstr>
      <vt:lpstr>imp!Area_de_impressao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Lucro Real Trimestral</dc:title>
  <dc:subject>Impostos de Renda e Contribuição Social</dc:subject>
  <dc:creator>www.funcacontabil.net</dc:creator>
  <cp:keywords>Função Contábil</cp:keywords>
  <cp:lastModifiedBy>Guilherme Fernando Ferrari</cp:lastModifiedBy>
  <cp:lastPrinted>2025-08-27T20:23:53Z</cp:lastPrinted>
  <dcterms:created xsi:type="dcterms:W3CDTF">2017-05-15T16:32:49Z</dcterms:created>
  <dcterms:modified xsi:type="dcterms:W3CDTF">2025-08-30T14:44:19Z</dcterms:modified>
  <cp:category>Mestre</cp:category>
</cp:coreProperties>
</file>